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RMJ\Documents\MARTHA\MARTHA TRABAJO\PLANEACION 2021\PLAN DE ADQUISICIONES 2021\VERSIONES\"/>
    </mc:Choice>
  </mc:AlternateContent>
  <xr:revisionPtr revIDLastSave="0" documentId="13_ncr:1_{979DB71E-2170-44A5-953B-151847621146}" xr6:coauthVersionLast="47" xr6:coauthVersionMax="47" xr10:uidLastSave="{00000000-0000-0000-0000-000000000000}"/>
  <bookViews>
    <workbookView xWindow="-108" yWindow="-108" windowWidth="23256" windowHeight="12576" xr2:uid="{00000000-000D-0000-FFFF-FFFF00000000}"/>
  </bookViews>
  <sheets>
    <sheet name="PLAN DE ADQUISICIONES 2021" sheetId="1" r:id="rId1"/>
    <sheet name="Reservas presupuestales" sheetId="3" r:id="rId2"/>
    <sheet name="COMISIONES" sheetId="2" r:id="rId3"/>
    <sheet name="Metas cuatrenio" sheetId="4" r:id="rId4"/>
    <sheet name="Hoja1" sheetId="5" state="hidden" r:id="rId5"/>
  </sheets>
  <externalReferences>
    <externalReference r:id="rId6"/>
    <externalReference r:id="rId7"/>
  </externalReferences>
  <definedNames>
    <definedName name="_xlnm._FilterDatabase" localSheetId="0" hidden="1">'PLAN DE ADQUISICIONES 2021'!$A$2:$AM$153</definedName>
    <definedName name="_Toc16493523" localSheetId="3">'Metas cuatrenio'!#REF!</definedName>
    <definedName name="_Toc16493524" localSheetId="3">'Metas cuatrenio'!$I$1</definedName>
    <definedName name="_xlnm.Print_Area" localSheetId="2">COMISIONES!$A$1:$I$103</definedName>
    <definedName name="CPA">[1]Listas!$B$1:$B$19</definedName>
    <definedName name="gasto">[1]Listas!$F$1:$F$7</definedName>
    <definedName name="GRUPO">[1]Listas!$M$1:$M$17</definedName>
    <definedName name="M">[1]Listas!$D$1:$D$4</definedName>
    <definedName name="META">[2]lista!$D$1</definedName>
    <definedName name="metas">[1]Listas!$A$1:$A$15</definedName>
    <definedName name="proceso">[1]Listas!$K$1:$K$15</definedName>
    <definedName name="PROYECTO">[1]Listas!$C$1:$C$2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1" l="1"/>
  <c r="AB17" i="1" s="1"/>
  <c r="N51" i="1"/>
  <c r="N50" i="1"/>
  <c r="N48" i="1"/>
  <c r="I46" i="2" l="1"/>
  <c r="H46" i="2" l="1"/>
  <c r="AB145" i="1" l="1"/>
  <c r="N130" i="1"/>
  <c r="N37" i="1" l="1"/>
  <c r="AB47" i="1"/>
  <c r="AB46" i="1"/>
  <c r="N125" i="1" l="1"/>
  <c r="AB126" i="1"/>
  <c r="N54" i="1" l="1"/>
  <c r="N53" i="1"/>
  <c r="N52" i="1"/>
  <c r="N36" i="1"/>
  <c r="N35" i="1"/>
  <c r="N34" i="1"/>
  <c r="N33" i="1"/>
  <c r="N32" i="1"/>
  <c r="N31" i="1"/>
  <c r="N30" i="1"/>
  <c r="N27" i="1"/>
  <c r="N26" i="1"/>
  <c r="N25" i="1"/>
  <c r="N24" i="1"/>
  <c r="N23" i="1"/>
  <c r="N21" i="1"/>
  <c r="N20" i="1"/>
  <c r="N19" i="1"/>
  <c r="N18" i="1"/>
  <c r="N16" i="1"/>
  <c r="N15" i="1"/>
  <c r="N14" i="1"/>
  <c r="N10" i="1" l="1"/>
  <c r="N9" i="1"/>
  <c r="N8" i="1"/>
  <c r="N5" i="1"/>
  <c r="N4" i="1"/>
  <c r="N3" i="1"/>
  <c r="AB94" i="1" l="1"/>
  <c r="N93" i="1"/>
  <c r="AB149" i="1"/>
  <c r="F20" i="4" l="1"/>
  <c r="E20" i="4"/>
  <c r="D20" i="4"/>
  <c r="C20" i="4"/>
  <c r="G19" i="4"/>
  <c r="G18" i="4"/>
  <c r="G17" i="4"/>
  <c r="F16" i="4"/>
  <c r="E16" i="4"/>
  <c r="D16" i="4"/>
  <c r="C16" i="4"/>
  <c r="G15" i="4"/>
  <c r="G14" i="4"/>
  <c r="G13" i="4"/>
  <c r="G12" i="4"/>
  <c r="G11" i="4"/>
  <c r="G10" i="4"/>
  <c r="G9" i="4"/>
  <c r="G8" i="4"/>
  <c r="F7" i="4"/>
  <c r="E7" i="4"/>
  <c r="E21" i="4" s="1"/>
  <c r="D7" i="4"/>
  <c r="C7" i="4"/>
  <c r="G6" i="4"/>
  <c r="G5" i="4"/>
  <c r="G4" i="4"/>
  <c r="G3" i="4"/>
  <c r="G16" i="4" l="1"/>
  <c r="G7" i="4"/>
  <c r="C21" i="4"/>
  <c r="D21" i="4"/>
  <c r="F21" i="4"/>
  <c r="G20" i="4"/>
  <c r="G21" i="4" s="1"/>
  <c r="T11" i="5"/>
  <c r="D4" i="5"/>
  <c r="AB103" i="1"/>
  <c r="N102" i="1"/>
  <c r="N148" i="1" l="1"/>
  <c r="N116" i="1"/>
  <c r="N96" i="1"/>
  <c r="N105" i="1"/>
  <c r="N99" i="1"/>
  <c r="N98" i="1"/>
  <c r="N97" i="1"/>
  <c r="N142" i="1"/>
  <c r="N141" i="1"/>
  <c r="N140" i="1"/>
  <c r="N146" i="1"/>
  <c r="N110" i="1"/>
  <c r="N109" i="1"/>
  <c r="N153" i="1" l="1"/>
  <c r="AB153" i="1" l="1"/>
  <c r="AB152" i="1"/>
  <c r="AB151" i="1"/>
  <c r="AB150" i="1"/>
  <c r="AB147" i="1"/>
  <c r="AB144" i="1"/>
  <c r="AB143" i="1"/>
  <c r="AB142" i="1"/>
  <c r="AB141" i="1"/>
  <c r="AB140" i="1"/>
  <c r="AB139" i="1"/>
  <c r="AB137" i="1"/>
  <c r="AB136" i="1"/>
  <c r="AB135" i="1"/>
  <c r="AB134" i="1"/>
  <c r="AB133" i="1"/>
  <c r="AB132" i="1"/>
  <c r="AB131" i="1"/>
  <c r="AB130" i="1"/>
  <c r="AB129" i="1"/>
  <c r="AB128" i="1"/>
  <c r="AB127" i="1"/>
  <c r="AB125" i="1"/>
  <c r="AB124" i="1"/>
  <c r="AB120" i="1"/>
  <c r="AB117" i="1"/>
  <c r="AB112" i="1"/>
  <c r="AB111" i="1"/>
  <c r="AB110" i="1"/>
  <c r="AB109" i="1"/>
  <c r="AB107" i="1"/>
  <c r="AB106" i="1"/>
  <c r="AB105" i="1"/>
  <c r="AB104" i="1"/>
  <c r="AB102" i="1"/>
  <c r="AB101" i="1"/>
  <c r="AB100" i="1"/>
  <c r="AB99" i="1"/>
  <c r="AB98" i="1"/>
  <c r="AB97" i="1"/>
  <c r="AB96" i="1"/>
  <c r="AB93" i="1"/>
  <c r="AB92" i="1"/>
  <c r="AB91" i="1"/>
  <c r="AB89" i="1"/>
  <c r="AB88" i="1"/>
  <c r="AB85" i="1"/>
  <c r="AB84" i="1"/>
  <c r="AB83" i="1"/>
  <c r="AB82" i="1"/>
  <c r="AB81" i="1"/>
  <c r="AB80" i="1"/>
  <c r="AB78" i="1"/>
  <c r="AB77" i="1"/>
  <c r="AB76" i="1"/>
  <c r="AB74" i="1"/>
  <c r="AB73" i="1"/>
  <c r="AB71" i="1"/>
  <c r="AB70" i="1"/>
  <c r="AB69" i="1"/>
  <c r="AB65" i="1"/>
  <c r="AB62" i="1"/>
  <c r="AB61" i="1"/>
  <c r="AB59" i="1"/>
  <c r="AB57" i="1"/>
  <c r="AB56" i="1"/>
  <c r="AB55" i="1"/>
  <c r="AB54" i="1"/>
  <c r="AB53" i="1"/>
  <c r="AB52" i="1"/>
  <c r="AB51" i="1"/>
  <c r="AB50" i="1"/>
  <c r="AB49" i="1"/>
  <c r="AB48" i="1"/>
  <c r="AB45" i="1"/>
  <c r="AB44" i="1"/>
  <c r="AB43" i="1"/>
  <c r="AB42" i="1"/>
  <c r="AB41" i="1"/>
  <c r="AB39" i="1"/>
  <c r="AB38" i="1"/>
  <c r="AB37" i="1"/>
  <c r="AB36" i="1"/>
  <c r="AB35" i="1"/>
  <c r="AB34" i="1"/>
  <c r="AB33" i="1"/>
  <c r="AB32" i="1"/>
  <c r="AB31" i="1"/>
  <c r="AB30" i="1"/>
  <c r="AB29" i="1"/>
  <c r="AB28" i="1"/>
  <c r="AB27" i="1"/>
  <c r="AB26" i="1"/>
  <c r="AB25" i="1"/>
  <c r="AB24" i="1"/>
  <c r="AB23" i="1"/>
  <c r="AB22" i="1"/>
  <c r="AB21" i="1"/>
  <c r="AB20" i="1"/>
  <c r="AB19" i="1"/>
  <c r="AB18" i="1"/>
  <c r="AB16" i="1"/>
  <c r="AB15" i="1"/>
  <c r="AB14" i="1"/>
  <c r="AB13" i="1"/>
  <c r="AB12" i="1"/>
  <c r="AB11" i="1"/>
  <c r="AB10" i="1"/>
  <c r="AB9" i="1"/>
  <c r="AB8" i="1"/>
  <c r="AB7" i="1"/>
  <c r="AB6" i="1"/>
  <c r="AB5" i="1"/>
  <c r="AB4" i="1"/>
  <c r="AB3" i="1"/>
  <c r="N72" i="1"/>
  <c r="AB72" i="1" s="1"/>
  <c r="N79" i="1"/>
  <c r="AB79" i="1" s="1"/>
  <c r="N40" i="1"/>
  <c r="AB40" i="1" l="1"/>
  <c r="AB148" i="1"/>
  <c r="AB146" i="1"/>
  <c r="N138" i="1"/>
  <c r="AB138" i="1" s="1"/>
  <c r="N123" i="1"/>
  <c r="AB123" i="1" s="1"/>
  <c r="N122" i="1"/>
  <c r="AB122" i="1" s="1"/>
  <c r="N121" i="1"/>
  <c r="AB121" i="1" s="1"/>
  <c r="N119" i="1"/>
  <c r="AB119" i="1" s="1"/>
  <c r="N118" i="1"/>
  <c r="AB118" i="1" s="1"/>
  <c r="AB116" i="1"/>
  <c r="N115" i="1"/>
  <c r="AB115" i="1" s="1"/>
  <c r="N114" i="1"/>
  <c r="AB114" i="1" s="1"/>
  <c r="N113" i="1"/>
  <c r="AB113" i="1" s="1"/>
  <c r="N108" i="1"/>
  <c r="AB108" i="1" s="1"/>
  <c r="N95" i="1"/>
  <c r="AB95" i="1" s="1"/>
  <c r="N90" i="1"/>
  <c r="AB90" i="1" l="1"/>
  <c r="N87" i="1"/>
  <c r="AB87" i="1" s="1"/>
  <c r="N86" i="1"/>
  <c r="AB86" i="1" s="1"/>
  <c r="N75" i="1"/>
  <c r="AB75" i="1" s="1"/>
  <c r="N68" i="1"/>
  <c r="AB68" i="1" s="1"/>
  <c r="N67" i="1"/>
  <c r="AB67" i="1" s="1"/>
  <c r="N66" i="1"/>
  <c r="AB66" i="1" s="1"/>
  <c r="N64" i="1"/>
  <c r="AB64" i="1" s="1"/>
  <c r="N63" i="1"/>
  <c r="AB63" i="1" s="1"/>
  <c r="N60" i="1"/>
  <c r="AB60" i="1" s="1"/>
  <c r="N58" i="1"/>
  <c r="N154" i="1" l="1"/>
  <c r="B4" i="5" s="1"/>
  <c r="B5" i="5" s="1"/>
  <c r="AB58" i="1"/>
  <c r="G103" i="2"/>
  <c r="G102" i="2"/>
  <c r="G101" i="2"/>
  <c r="G100" i="2"/>
  <c r="G99" i="2"/>
  <c r="G98" i="2"/>
  <c r="G97" i="2"/>
  <c r="G96" i="2"/>
  <c r="G95" i="2"/>
  <c r="G94" i="2"/>
  <c r="G93" i="2"/>
  <c r="G92" i="2"/>
  <c r="G91" i="2"/>
  <c r="G90" i="2"/>
  <c r="G89" i="2"/>
  <c r="G88"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5" i="2"/>
  <c r="G44" i="2"/>
  <c r="G43" i="2"/>
  <c r="G42" i="2"/>
  <c r="I41" i="2"/>
  <c r="I47" i="2" s="1"/>
  <c r="H41" i="2"/>
  <c r="H47" i="2" s="1"/>
  <c r="G40" i="2"/>
  <c r="G41" i="2" s="1"/>
  <c r="E40" i="2"/>
  <c r="I38" i="2"/>
  <c r="H38" i="2"/>
  <c r="G38" i="2"/>
  <c r="I36" i="2"/>
  <c r="H32" i="2"/>
  <c r="G31" i="2"/>
  <c r="G30" i="2"/>
  <c r="I29" i="2"/>
  <c r="G29" i="2"/>
  <c r="I28" i="2"/>
  <c r="G28" i="2"/>
  <c r="I27" i="2"/>
  <c r="G27" i="2"/>
  <c r="G26" i="2"/>
  <c r="G25" i="2"/>
  <c r="G24" i="2"/>
  <c r="I23" i="2"/>
  <c r="G23" i="2"/>
  <c r="I22" i="2"/>
  <c r="G22" i="2"/>
  <c r="H21" i="2"/>
  <c r="E21" i="2"/>
  <c r="I20" i="2"/>
  <c r="G20" i="2"/>
  <c r="I19" i="2"/>
  <c r="I21" i="2" s="1"/>
  <c r="G19" i="2"/>
  <c r="G18" i="2"/>
  <c r="I17" i="2"/>
  <c r="G17" i="2"/>
  <c r="I16" i="2"/>
  <c r="G16" i="2"/>
  <c r="I15" i="2"/>
  <c r="G15" i="2"/>
  <c r="I14" i="2"/>
  <c r="G14" i="2"/>
  <c r="I13" i="2"/>
  <c r="G13" i="2"/>
  <c r="I12" i="2"/>
  <c r="G12" i="2"/>
  <c r="I11" i="2"/>
  <c r="G11" i="2"/>
  <c r="I10" i="2"/>
  <c r="G10" i="2"/>
  <c r="I9" i="2"/>
  <c r="G9" i="2"/>
  <c r="I8" i="2"/>
  <c r="G8" i="2"/>
  <c r="I7" i="2"/>
  <c r="G7" i="2"/>
  <c r="I6" i="2"/>
  <c r="G6" i="2"/>
  <c r="I5" i="2"/>
  <c r="G5" i="2"/>
  <c r="I4" i="2"/>
  <c r="G2" i="2"/>
  <c r="G46" i="2" l="1"/>
  <c r="G47" i="2" s="1"/>
  <c r="I32" i="2"/>
  <c r="G32" i="2"/>
  <c r="G21" i="2"/>
  <c r="G10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J3" authorId="0" shapeId="0" xr:uid="{00000000-0006-0000-0100-000001000000}">
      <text>
        <r>
          <rPr>
            <b/>
            <sz val="12"/>
            <color indexed="81"/>
            <rFont val="Tahoma"/>
            <family val="2"/>
          </rPr>
          <t>OAP: Seleccione una opción de lo que se encuentra en la lista</t>
        </r>
        <r>
          <rPr>
            <sz val="9"/>
            <color indexed="81"/>
            <rFont val="Tahoma"/>
            <family val="2"/>
          </rPr>
          <t xml:space="preserve">
</t>
        </r>
      </text>
    </comment>
    <comment ref="L3" authorId="0" shapeId="0" xr:uid="{00000000-0006-0000-0100-000002000000}">
      <text>
        <r>
          <rPr>
            <b/>
            <sz val="12"/>
            <color indexed="81"/>
            <rFont val="Tahoma"/>
            <family val="2"/>
          </rPr>
          <t>OAP:Los contratos de prestación de servicios deben registrarse con el mismo valor del año 2020 (Sin incremento) y detallando el valor mensual por el número de meses. Por ejemplo: =3000000*11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Martha del Pilar Gomez</author>
  </authors>
  <commentList>
    <comment ref="H1" authorId="0" shapeId="0" xr:uid="{00000000-0006-0000-0200-000001000000}">
      <text>
        <r>
          <rPr>
            <b/>
            <sz val="9"/>
            <color indexed="81"/>
            <rFont val="Tahoma"/>
            <family val="2"/>
          </rPr>
          <t xml:space="preserve">OAP: Se sugiere valor promedio tiquete $800,000
</t>
        </r>
        <r>
          <rPr>
            <sz val="9"/>
            <color indexed="81"/>
            <rFont val="Tahoma"/>
            <family val="2"/>
          </rPr>
          <t xml:space="preserve">
</t>
        </r>
      </text>
    </comment>
  </commentList>
</comments>
</file>

<file path=xl/sharedStrings.xml><?xml version="1.0" encoding="utf-8"?>
<sst xmlns="http://schemas.openxmlformats.org/spreadsheetml/2006/main" count="2846" uniqueCount="478">
  <si>
    <t>CCP</t>
  </si>
  <si>
    <t>Proyecto de inversión</t>
  </si>
  <si>
    <t>CPA</t>
  </si>
  <si>
    <t>Meta Plan Estratégico</t>
  </si>
  <si>
    <t>Proceso Responsable</t>
  </si>
  <si>
    <t>CÓDIGO UNSPSC</t>
  </si>
  <si>
    <t>Descripción del contrato</t>
  </si>
  <si>
    <t xml:space="preserve">Fecha estimada de inicio de proceso de selección </t>
  </si>
  <si>
    <t>Fecha estimada de presentación de ofertas (Número del mes)</t>
  </si>
  <si>
    <t>Duración estimada del contrato (Número de meses)</t>
  </si>
  <si>
    <t>Duración estimada del contrato (intervalo: días, meses, años)</t>
  </si>
  <si>
    <t xml:space="preserve">Modalidad de selección </t>
  </si>
  <si>
    <t>Fuente de los Recursos</t>
  </si>
  <si>
    <t>Valor estimado en la vigencia actual 
(Valor inicial)</t>
  </si>
  <si>
    <t>¿Se requieren vigencias futuras?</t>
  </si>
  <si>
    <t>Estado de solicitud de vigencias futuras</t>
  </si>
  <si>
    <t>Unidad de contratación</t>
  </si>
  <si>
    <t>Ubicación</t>
  </si>
  <si>
    <t xml:space="preserve">Nombre del responsable </t>
  </si>
  <si>
    <t xml:space="preserve">Teléfono del responsable </t>
  </si>
  <si>
    <t xml:space="preserve">Correo electrónico del responsable </t>
  </si>
  <si>
    <t>Tipo de rubro de gasto</t>
  </si>
  <si>
    <t>Tipo de objeto de Gasto</t>
  </si>
  <si>
    <t>Nombre del Supervisor</t>
  </si>
  <si>
    <t xml:space="preserve">Crear </t>
  </si>
  <si>
    <t>Aumentar</t>
  </si>
  <si>
    <t>Reducir</t>
  </si>
  <si>
    <t>Valor real del contrato</t>
  </si>
  <si>
    <t># CDP</t>
  </si>
  <si>
    <t xml:space="preserve">Valor Utilizado CDP </t>
  </si>
  <si>
    <t xml:space="preserve">Saldo CDP </t>
  </si>
  <si>
    <t># RP</t>
  </si>
  <si>
    <t xml:space="preserve">Fecha del RP </t>
  </si>
  <si>
    <t xml:space="preserve">Valor Utilizado RP </t>
  </si>
  <si>
    <t xml:space="preserve">Saldo RP 
 </t>
  </si>
  <si>
    <t>Número del Contrato asociado</t>
  </si>
  <si>
    <t xml:space="preserve">Nombre Tercero </t>
  </si>
  <si>
    <t xml:space="preserve">OBLIGADO
</t>
  </si>
  <si>
    <t>OBSERVACIONES</t>
  </si>
  <si>
    <t>C-2203-0700-5-0-2203003-02</t>
  </si>
  <si>
    <t>PROYECTO MEJORAMIENTO DE LAS CONDICIONES PARA LA GARANTÍA DE LOS DERECHOS DE LAS PERSONAS CON DISCAPACIDAD VISUAL EN EL PAÍS</t>
  </si>
  <si>
    <t>MC-01</t>
  </si>
  <si>
    <t>Brindar asistencia técnica en educación a las entidades territoriales certificadas para  el mejoramiento de los procesos de atención de las personas con discapacidad visual</t>
  </si>
  <si>
    <t xml:space="preserve">Asistencia Técnica
</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</si>
  <si>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1</t>
  </si>
  <si>
    <t>Contratación directa</t>
  </si>
  <si>
    <t>CONTRATO  PRESTACIÓN SERVICIOS PROFESIONALES</t>
  </si>
  <si>
    <t>Pedro Andrade</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</si>
  <si>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2</t>
  </si>
  <si>
    <t>Prestación de servicios de apoyo a la gestión, brindando asistencia técnica en actividades relativas a la asesoria y acompañamiento a la IE para atención educativa con estudiantes con D.V. en el marco del proyecto de mejoramiento de condiciones para la garantía de los derechos de las personas con discapacidad visual del país. 3</t>
  </si>
  <si>
    <t>No aplica</t>
  </si>
  <si>
    <t>Viáticos para el desarrollo de las comisiones de los servidores públicos del INCI en ejercicio de sus funciones</t>
  </si>
  <si>
    <t>No es contrato</t>
  </si>
  <si>
    <t>VIÁTICOS</t>
  </si>
  <si>
    <t xml:space="preserve">Tiquetes terrestres para el desplazamiento de los servidores públicos del INCI para el ejercicio de sus funciones  </t>
  </si>
  <si>
    <t>TIQUETE TERRESTRE</t>
  </si>
  <si>
    <t>Brindar asesoría a entidades públicas y privadas que generen condiciones de accesibilidad al espacio físico, a la información y al uso de tecnología especializada para las personas con discapacidad visual</t>
  </si>
  <si>
    <t>Prestar de servicios de apoyo a la gestión,brindando asistencia técnica en actividades relativas a la accesibilidad web y tecnología especializada, en el marco del proyecto de mejoramiento de condiciones para la garantía de los derechos de las personas con discapacidad visual del país</t>
  </si>
  <si>
    <t>CONTRATO PRESTACIÓN SERVICIOS (Técnico)</t>
  </si>
  <si>
    <t>Santiago Rodriguez</t>
  </si>
  <si>
    <t>Prestar servicios de apoyo a la gestión, brindando asistencia técnica en actividades relativas a la accesibilidad al medio físico, en el marco del  proyecto  mejoramiento de las condiciones para la  garantía de los derechos de las personas con discapacidad visual del país.</t>
  </si>
  <si>
    <t>Asesorar a las instancias competentes para promover la empleabilidad de las personas con discapacidad visual</t>
  </si>
  <si>
    <t>Prestación de servicios de apoyo a la gestión, brindando asistencia técnica y acompañamiento a las entidades en actividades relativas a la empleabilidad de las personas con D.V., en el marco del proyecto de mejoramiento de condiciones para la garantía de los derechos de las personas con discapacidad visual del país.</t>
  </si>
  <si>
    <t>Rosario Yepes</t>
  </si>
  <si>
    <t>Contrato de asosiación de capacitación en habilidades blandas para la población con D.V.,  en el marco del proyecto de mejoramiento de condiciones para la garantía de los derechos de las personas con discapacidad visual del país.</t>
  </si>
  <si>
    <t>SERVICIO</t>
  </si>
  <si>
    <t>Desarrollar campañas de comunicación relacionadas con la temática de discapacidad visual y el quehacer institucional</t>
  </si>
  <si>
    <t>Comunicaciones</t>
  </si>
  <si>
    <t>Juan Esteban Gómez</t>
  </si>
  <si>
    <t>Contratación de servicios profesionales para el diseño de piezas gráficas para los medios Institucionales</t>
  </si>
  <si>
    <t>C-2203-0700-5-0-2203018-02</t>
  </si>
  <si>
    <t>MC-02</t>
  </si>
  <si>
    <t>Producir y adaptar material audiovisual para promover la inclusión de las personas con discapacidad visual</t>
  </si>
  <si>
    <t>Producción radial y audiovisual</t>
  </si>
  <si>
    <t>Producir y emitir contenidos radiales para promover la inclusión de las personas con discapacidad visual</t>
  </si>
  <si>
    <t>Contratación de prestación de servicios profesionales para producción general y locución de contenidos radiales sobre los derechos de la población con discapacidad visual</t>
  </si>
  <si>
    <t>Prestación de servicios para el apoyo de producción radial, página web y contenidos web de la emisora INCI Radio</t>
  </si>
  <si>
    <t>Prestación de servicios para el apoyo de producción radial, redes sociales y contenidos web de la emisora INCI Radio</t>
  </si>
  <si>
    <t>Desarrollar talleres especializados en temas relacionados con la discapacidad visual</t>
  </si>
  <si>
    <t xml:space="preserve">Centro Cultural
</t>
  </si>
  <si>
    <t>Contratación de intérpretes y guías intérpretes para fortalecer la atención y participación de las personas sordas y sordociegas en las actividades y servicios del INCI</t>
  </si>
  <si>
    <t>Eliana Uribe</t>
  </si>
  <si>
    <t>Producir y publicar en formatos accesibles documentos para personas con discapacidad visual</t>
  </si>
  <si>
    <t xml:space="preserve">Prestación de servicios de apoyo a la gestión, para la elaboración de textos en formatos accesibles </t>
  </si>
  <si>
    <t xml:space="preserve">Enrique King </t>
  </si>
  <si>
    <t>Prestación de servicios de apoyo a la gestión para la administración de la biblioteca virtual para ciegos.</t>
  </si>
  <si>
    <t>Realizar exposiciones para personas con discapacidad visual y público en general en la sala multisensorial</t>
  </si>
  <si>
    <t xml:space="preserve">Prestación de servicios de apoyo a la gestión para promover la inclusión sociocultural de las personas con discapacidad visual. </t>
  </si>
  <si>
    <t xml:space="preserve">Disponer de material, productos y ayudas para la adquisición por parte de las  personas con discapacidad visual </t>
  </si>
  <si>
    <t xml:space="preserve">Unidades Productivas
</t>
  </si>
  <si>
    <t xml:space="preserve">Adquisición de productos y materiales especializados para personas con discapacidad visual con el propósito de abastecer la  Tienda INCI </t>
  </si>
  <si>
    <t>Menor Cuantía</t>
  </si>
  <si>
    <t>SUMINISTRO</t>
  </si>
  <si>
    <t xml:space="preserve">Transcribir e imprimir libros, textos y material para las personas con discapacidad visual </t>
  </si>
  <si>
    <t>Contratación de prestación de servicios de apoyo a la gestión para el área de acabados en la imprenta Nacional para Ciegos 1</t>
  </si>
  <si>
    <t>Contratación de prestación de servicios de apoyo a la gestión para el área de acabados en la imprenta Nacional para Ciegos 2</t>
  </si>
  <si>
    <t xml:space="preserve">Contratación de prestación de servicios de apoyo a la gestión para el manejo de máquinas de impresión en braille, corte y grabado láser de la imprenta Nacional para Ciegos </t>
  </si>
  <si>
    <t xml:space="preserve">Contratación de prestación de servicios profesionales para realizar diagramación, transcripción y diseño de productos en la imprenta nacional para ciegos </t>
  </si>
  <si>
    <t xml:space="preserve">Contratación de prestación de servicios de apoyo a la gestión  para realizar diagramación, transcripción, diseño de productos y manejo de máquinasde impresión braille UV LED, impresión braille y digital en la imprenta nacional para ciegos </t>
  </si>
  <si>
    <t xml:space="preserve">Contratación de prestación de servicios profesionales en actividades  administrativas, mercadeo y producción en la imprenta nacional para ciegos </t>
  </si>
  <si>
    <t>Adquisición de papel para realizar la producción de impresos en tinta braille en la imprenta</t>
  </si>
  <si>
    <t>Adquisición de insumos para la producción en la imprenta nacional para ciegos (anillos, toner, pegantes,  acirilicos, cintas…)</t>
  </si>
  <si>
    <t xml:space="preserve">Mantenimiento de Software de costeo </t>
  </si>
  <si>
    <t xml:space="preserve">Contratación de mantenimiento de las impresoras digitales Ricoh de la imprenta Nacional para Ciegos </t>
  </si>
  <si>
    <t xml:space="preserve">Contratación de mantenimiento preventivo y correctivo de las Máquinas Offset de la Imprenta Nacional para Ciegos </t>
  </si>
  <si>
    <t xml:space="preserve">Contratación de mantenimiento de la máquina PED de la imprenta Nacional para Ciegos </t>
  </si>
  <si>
    <t xml:space="preserve">Contratación de mantenimiento de las maquinas Index de la imprenta Nacional para Ciegos </t>
  </si>
  <si>
    <t>Contratación de mantenimiento de  máquina de señalización (impresora cama plana UV LED) y máquina de corte laser ubicada en la Imprenta Nacional para Ciegos</t>
  </si>
  <si>
    <t>MC-03</t>
  </si>
  <si>
    <t>Desarrollar ejercicios de investigación para mejorar las condiciones de inclusión de las personas con discapacidad visual</t>
  </si>
  <si>
    <t>80111621</t>
  </si>
  <si>
    <t>Contratación de entidad para el desarrollo de investigación, en el marco del proyecto de mejoramiento de condiciones para la garantía de los derechos de las personas con discapacidad visual del país.</t>
  </si>
  <si>
    <t>Contrato interadministrativo</t>
  </si>
  <si>
    <t>Miryam Herrera</t>
  </si>
  <si>
    <t>Gestionar documentos de propuestas normativas para hacer efectivos los derechos de las personas con discapacidad visual</t>
  </si>
  <si>
    <t>Contrato de prestación de servicios profesionales para la gestión de propuestas normativas en beneficio de las personas con discapacidad visual</t>
  </si>
  <si>
    <t xml:space="preserve">Promover y asesorar a organizaciones sociales y  otros colectivos de personas con discapacidad, para  la participación y el ejercicio de sus derechos </t>
  </si>
  <si>
    <t xml:space="preserve">Prestación de servicios de apoyo en el tema de fortalecimiento organizacional y  otros colectivos de personas con discapacidad  para  la participación y el ejercicio de sus derechos </t>
  </si>
  <si>
    <t>Prestación de servicios de apoyo a la gestión, brindando asistencia técnica y acompañamiento a las organizaciones y personas con D.V. , en el marco del proyecto de mejoramiento de condiciones para la garantía de los derechos de las personas con discapacidad visual del país.</t>
  </si>
  <si>
    <t>C-2203-0700-5-0-2203016-02</t>
  </si>
  <si>
    <t>INVERSIÓN</t>
  </si>
  <si>
    <t>subdireccion@inci.gov.co</t>
  </si>
  <si>
    <t>Bogotá, D.C.</t>
  </si>
  <si>
    <t>Gestión Contractual</t>
  </si>
  <si>
    <t>Meta</t>
  </si>
  <si>
    <t>Departamento</t>
  </si>
  <si>
    <t>Municipio</t>
  </si>
  <si>
    <t>Nombre Servidor público</t>
  </si>
  <si>
    <t>Viáticos</t>
  </si>
  <si>
    <t># días</t>
  </si>
  <si>
    <t>SUBTOTAL Viaticos</t>
  </si>
  <si>
    <t>Tiquete Aereo</t>
  </si>
  <si>
    <t>Tiquete Terrestre</t>
  </si>
  <si>
    <t>Columna1</t>
  </si>
  <si>
    <t>Antioquia</t>
  </si>
  <si>
    <t>Bello</t>
  </si>
  <si>
    <t>Nicole Cubillos</t>
  </si>
  <si>
    <t>Itagui</t>
  </si>
  <si>
    <t>Rionegro</t>
  </si>
  <si>
    <t>Cudinamarca</t>
  </si>
  <si>
    <t>Fusagasuga</t>
  </si>
  <si>
    <t>Martha Castro</t>
  </si>
  <si>
    <t>Girardot</t>
  </si>
  <si>
    <t xml:space="preserve">Mosquera </t>
  </si>
  <si>
    <t>Zipaquira</t>
  </si>
  <si>
    <t>Valle</t>
  </si>
  <si>
    <t>Cartago</t>
  </si>
  <si>
    <t>Contratista (2)</t>
  </si>
  <si>
    <t>Jamundi</t>
  </si>
  <si>
    <t xml:space="preserve">Palmira </t>
  </si>
  <si>
    <t>Yumbo</t>
  </si>
  <si>
    <t>Santander</t>
  </si>
  <si>
    <t>Floridablanca</t>
  </si>
  <si>
    <t>Luz Marleny Correa</t>
  </si>
  <si>
    <t>Inter, Taxi Bogota y Taxi stder</t>
  </si>
  <si>
    <t>Piedecuesta</t>
  </si>
  <si>
    <t>Boyacá</t>
  </si>
  <si>
    <t>Duitama</t>
  </si>
  <si>
    <t>Glora Peña</t>
  </si>
  <si>
    <t>La Guajira</t>
  </si>
  <si>
    <t>Maicao</t>
  </si>
  <si>
    <t>Claudia Valdes</t>
  </si>
  <si>
    <t>Córdoba</t>
  </si>
  <si>
    <t>Sahagún</t>
  </si>
  <si>
    <t>Nariño</t>
  </si>
  <si>
    <t>Tumaco</t>
  </si>
  <si>
    <t>Contratista (3)</t>
  </si>
  <si>
    <t>Atlántico</t>
  </si>
  <si>
    <t>Soledad</t>
  </si>
  <si>
    <t>Sandra Cortes</t>
  </si>
  <si>
    <t>Malambo</t>
  </si>
  <si>
    <t>Barranquilla</t>
  </si>
  <si>
    <t>Esperanza Verdugo</t>
  </si>
  <si>
    <t>Boyaca</t>
  </si>
  <si>
    <t>Sogamoso</t>
  </si>
  <si>
    <t>Caqueta</t>
  </si>
  <si>
    <t>Florencia</t>
  </si>
  <si>
    <t>Contratista (Yolanda)</t>
  </si>
  <si>
    <t>Cauca</t>
  </si>
  <si>
    <t>Popayan</t>
  </si>
  <si>
    <t>Guaviare</t>
  </si>
  <si>
    <t>San Jose del Guaviare</t>
  </si>
  <si>
    <t>La guajira</t>
  </si>
  <si>
    <t>Riohacha y Maicao</t>
  </si>
  <si>
    <t>Villavicencio</t>
  </si>
  <si>
    <t>Patricia Montoya</t>
  </si>
  <si>
    <t>Pasto</t>
  </si>
  <si>
    <t>Risaralda</t>
  </si>
  <si>
    <t>Pereira</t>
  </si>
  <si>
    <t>San Andrés</t>
  </si>
  <si>
    <t>Casanare</t>
  </si>
  <si>
    <t>Yopal</t>
  </si>
  <si>
    <t>Contratista (Marcela)</t>
  </si>
  <si>
    <t>3.5</t>
  </si>
  <si>
    <t>Chocó</t>
  </si>
  <si>
    <t>Quibdo</t>
  </si>
  <si>
    <t>Putumayo</t>
  </si>
  <si>
    <t>Puerto Asis</t>
  </si>
  <si>
    <t>Magdalena</t>
  </si>
  <si>
    <t>Santa Marta</t>
  </si>
  <si>
    <t>Vaupes</t>
  </si>
  <si>
    <t>Mitu</t>
  </si>
  <si>
    <t>Departamento 1</t>
  </si>
  <si>
    <t>Municipio 1</t>
  </si>
  <si>
    <t>Santiago Rodríguez</t>
  </si>
  <si>
    <t>Departamento 2</t>
  </si>
  <si>
    <t>Municipio 2</t>
  </si>
  <si>
    <t>Edwin Beltran</t>
  </si>
  <si>
    <t>Mariño</t>
  </si>
  <si>
    <t>TIQUETE AÉREO</t>
  </si>
  <si>
    <t>Dotar instituciones que atiendan personas con discapacidad visual con libros y textos en braille y material en relieve y macrotipo</t>
  </si>
  <si>
    <t>Contratar los servicios de recolección, curso y entrega de correo, correspondencia y demás servicios postales que requiera el INCI, en las modalidades de correo normal, certificado, urbano nacional e internacional, dirigido con prueba de entrega urbano y nacional; servicio Post- Express a nivel urbano y nacional.</t>
  </si>
  <si>
    <t xml:space="preserve">Contratar el suministro de refrigerios para las personas con discapacidad visual y demás asistentes a los eventos organizados por el INCI con el fin de promover los derechos de las personas con discapacidad visual </t>
  </si>
  <si>
    <t>PROYECTO FORTALECIMIENTO DE PROCESOS Y RECURSOS DEL INCI PARA CONTRIBUIR CON EL MEJORAMIENTO DE SERVICIOS A LAS PERSONAS CON DISCAPACIDAD VISUAL</t>
  </si>
  <si>
    <t>META</t>
  </si>
  <si>
    <t>2019</t>
  </si>
  <si>
    <t>2020</t>
  </si>
  <si>
    <t>2021</t>
  </si>
  <si>
    <t>2022</t>
  </si>
  <si>
    <t>METAS</t>
  </si>
  <si>
    <t>MC 01</t>
  </si>
  <si>
    <t>FP 01</t>
  </si>
  <si>
    <t>Mejorar los espacios físicos y accesibilidad de la entidad</t>
  </si>
  <si>
    <t>MC 02</t>
  </si>
  <si>
    <t>FP 02</t>
  </si>
  <si>
    <t>Implementar los instrumentos archivísticos en la entidad</t>
  </si>
  <si>
    <t>Actualizar y ejecutar el programa de gestión documental</t>
  </si>
  <si>
    <t>FP 03</t>
  </si>
  <si>
    <t>Fortalecer las capacidades, conocimientos y habilidades de los servidores en el puesto de trabajo, a través de la implementación del Plan Institucional de Capacitación</t>
  </si>
  <si>
    <t>MC 03</t>
  </si>
  <si>
    <t>Ejecutar el Programa de Bienestar para contribuir al mejoramiento de la Calidad de Vida de los servidores de la entidad</t>
  </si>
  <si>
    <t>FP 04</t>
  </si>
  <si>
    <t>Implementar  el Modelo Integrado de Planeación y Gestión en el INCI</t>
  </si>
  <si>
    <t>Promover y asesorar a organizaciones sociales, familia y  otros colectivos de personas con discapacidad visual, para  la participación y el ejercicio de sus derechos</t>
  </si>
  <si>
    <t>Implementar el Sistema de Gestión y Seguridad en el Trabajo</t>
  </si>
  <si>
    <t>FP 05</t>
  </si>
  <si>
    <t>Actualizar la plataforma tecnológica de la entidad</t>
  </si>
  <si>
    <t>Mejorar la seguridad de la información</t>
  </si>
  <si>
    <t>Disponer de material, productos y ayudas para la adquisición por parte de las  personas con discapacidad visual</t>
  </si>
  <si>
    <t>Transcribir e imprimir libros, textos y material para las personas con discapacidad visual</t>
  </si>
  <si>
    <t xml:space="preserve">Contratación de servicios  de apoyo a la gestion (6 personas) para la imprenta Nacional para Ciegos (elecciones Juventud) </t>
  </si>
  <si>
    <t>Convenio de asociación con la Federación Colombiana de Organizaciones de Personas con Discapacidad Visual –FECODIV para el fortalecimiento de la participación de las personas con discapacidad visual</t>
  </si>
  <si>
    <t>CONVENIO</t>
  </si>
  <si>
    <t>Gestión Documental</t>
  </si>
  <si>
    <t xml:space="preserve">Prestar sus servicios como tecnólogo en gestión documental, apoyando la ejecución de las diferentes actividades administrativas y técnicas que le atañen al proceso de gestión documental del Instituto Nacional para Ciegos – INCI </t>
  </si>
  <si>
    <t>Luz Hedy Ortiz</t>
  </si>
  <si>
    <t>CONTRATO DE PRESTACIÓN DE SERVICIOS PROFESIONALES</t>
  </si>
  <si>
    <t>Andrea Cuadros</t>
  </si>
  <si>
    <t>Darío Montañez</t>
  </si>
  <si>
    <t>secretariageneral@inci.gov.co</t>
  </si>
  <si>
    <t>Contrato para la adquisición de mobiliario para garantizar la conservación del patrimonio documental del archivo del INCI</t>
  </si>
  <si>
    <t>MATERIALES Y SUMINISTROS</t>
  </si>
  <si>
    <t>MATERIALES</t>
  </si>
  <si>
    <t>Prestar servicios de apoyo a la gestión documental, para el cumplimiento de las metas y compromisos establecidos en los Planes y Programas del Proceso de Gestión Documental del Instituto Nacional para Ciegos – INCI.</t>
  </si>
  <si>
    <t>Gestión Humana</t>
  </si>
  <si>
    <t>Contratar servicio de salud ocupacional y laboral</t>
  </si>
  <si>
    <t>Contrato de prestación de servicios para fortalecer las capacidades, conocimientos y habilidades de los servidores públicos</t>
  </si>
  <si>
    <t>Contratar la prestación de servicios para apoyar el desarrollo del Programa de Bienestar, el Plan Integral de Capacitación, el Sistema de Gestión de Seguridad y Salud en el Trabajo (SG-SST) y demás procesos relacionados con la dependencia de Gestión Humana del Instituto Nacional para Ciegos – INCI</t>
  </si>
  <si>
    <t>Contratación de prestación  de servicios profesionales para la actualización del Manual de Funciones</t>
  </si>
  <si>
    <t>Contratatación de Consultoría para el fortalecimiento de las políticas del Modelo Integrado de Planeción y Gestión (estadística y normativa)</t>
  </si>
  <si>
    <t>Ricardo Hernández</t>
  </si>
  <si>
    <t>planeacion@inci.gov.co</t>
  </si>
  <si>
    <t>Direccionamiento Estratégico</t>
  </si>
  <si>
    <t>Diego Sánchez</t>
  </si>
  <si>
    <t>Contrato de prestación de servicios profesionales para la defensa jurídica que adelanta la Oficina Asesora Jurídica del Instituto Nacional para Ciegos, INCI.</t>
  </si>
  <si>
    <t>Gestión Jurídica</t>
  </si>
  <si>
    <t>juridica@inci.gov.co</t>
  </si>
  <si>
    <t>FP-05</t>
  </si>
  <si>
    <t>Informática y Tecnología</t>
  </si>
  <si>
    <t>Contratación de prestación de servicio para soporte y actualización de licencia IOS aplicaciones del INCI y plataforma de learning</t>
  </si>
  <si>
    <t xml:space="preserve">Contratación de prestación de servicio para soporte y mantenimiento de la página web, el aplicativo de asistencia técnica </t>
  </si>
  <si>
    <t>Servicio de Streaming para la Emisora Virtual INCI Radio, del Instituto Nacional para Ciegos</t>
  </si>
  <si>
    <t>Adquisición de licenciamiento microsoft office 365 para los equipos de cómputo del INCI</t>
  </si>
  <si>
    <t>Adquisición Licenciamiento Suite Adobe</t>
  </si>
  <si>
    <t>Contratar el servicio de hosting para el alojamiento de la página web y aplicaciones del Instituto Nacional Para Ciegos - INCI, acorde con el anexo técnico, los estudios previos y el pliego de condiciones.</t>
  </si>
  <si>
    <t>Prestar sus servicios como ingeniero de sistemas para soporte, desarrollo y mejoramiento en el SGD ORFEO del Instituto Nacional para Ciegos</t>
  </si>
  <si>
    <t xml:space="preserve">Mantenimiento servidor y actualización sistema telefónico IP - Elastix </t>
  </si>
  <si>
    <t>Mantenimiento preventivo y correctivo por horas,  de equipos de redes WI-FI AP, Switch Core y Borde, controladoras  relacionadas, actualización, implementaciones, configuraciones de propiedad del INCI</t>
  </si>
  <si>
    <t>Adquisición de Antivirus</t>
  </si>
  <si>
    <t>Adquisición de Licencias Firewall</t>
  </si>
  <si>
    <t>Contrato de prestación de servicios para el soporte, mantenimiento y actualizaciones del aplicativo WEBSAFI</t>
  </si>
  <si>
    <t>Servicio de mantenimiento MV y actualización SERVERCENTER</t>
  </si>
  <si>
    <t>Servicio de mantenimiento y ajustes a IPv6 - Incluye permanencia en "LACNIC"</t>
  </si>
  <si>
    <t>Soporte de Directorio activo</t>
  </si>
  <si>
    <t>Soporte de Firewall</t>
  </si>
  <si>
    <t xml:space="preserve">Prestación de servicios profesionales como Community Manager para la actualización y desarrollo de las redes sociales del Instituto Nacional para Ciegos INCI </t>
  </si>
  <si>
    <t>Contratación de servicios profesionales para el desarrollo y administración de los canales digitales de comunicación del INCI</t>
  </si>
  <si>
    <t>Selección abreviada- Acuedo Marco</t>
  </si>
  <si>
    <t>LICENCIA</t>
  </si>
  <si>
    <t>EQUIPOS</t>
  </si>
  <si>
    <t>Carlos Supanteve</t>
  </si>
  <si>
    <t>Lady Hoyos</t>
  </si>
  <si>
    <t>Antonio Betancur</t>
  </si>
  <si>
    <t>Helbert Castillo</t>
  </si>
  <si>
    <t>C-2299-0700-3-0-2299052-02</t>
  </si>
  <si>
    <t>C-2299-0700-3-0-2299058-02</t>
  </si>
  <si>
    <t>C-2299-0700-3-0-2299060-02</t>
  </si>
  <si>
    <t>C-2299-0700-3-0-2299062-02</t>
  </si>
  <si>
    <t>A-02-01-01-003-008</t>
  </si>
  <si>
    <t>A-02-02-01-000-001</t>
  </si>
  <si>
    <t>A-02-02-01-002-003</t>
  </si>
  <si>
    <t>A-02-02-01-002-008</t>
  </si>
  <si>
    <t>A-02-02-01-003-002</t>
  </si>
  <si>
    <t>A-02-02-01-003-003</t>
  </si>
  <si>
    <t>A-02-02-01-003-005</t>
  </si>
  <si>
    <t xml:space="preserve">A-02-02-01-003-006  </t>
  </si>
  <si>
    <t xml:space="preserve">A-02-02-01-003-006 </t>
  </si>
  <si>
    <t>A-02-02-01-004-007</t>
  </si>
  <si>
    <t>A-02-02-02-005-004</t>
  </si>
  <si>
    <t>A-02-02-02-006-004</t>
  </si>
  <si>
    <t>A-02-02-02-006-009</t>
  </si>
  <si>
    <t xml:space="preserve">
A-02-02-02-007-001</t>
  </si>
  <si>
    <t>A-02-02-02-008-002</t>
  </si>
  <si>
    <t>A-02-02-02-008-003</t>
  </si>
  <si>
    <t>A-02-02-02-008-003-09</t>
  </si>
  <si>
    <t>A-02-02-02-008-004</t>
  </si>
  <si>
    <t>A-02-02-02-008-005</t>
  </si>
  <si>
    <t>A-02-02-02-008-007</t>
  </si>
  <si>
    <t>A-02-02-02-008-007-01</t>
  </si>
  <si>
    <t>A-02-02-02-009-004</t>
  </si>
  <si>
    <t>A-02-02-02-009-006-09</t>
  </si>
  <si>
    <t>A-02-02-02-009-007</t>
  </si>
  <si>
    <t>A-03-10-01-001</t>
  </si>
  <si>
    <t>A-08-04-01</t>
  </si>
  <si>
    <t>A-08-01-02-001</t>
  </si>
  <si>
    <t>56112204; 
56112206; 
56112103; 
56112104; 
56101518</t>
  </si>
  <si>
    <t>52151501;
52151502;
52151503;
52151504</t>
  </si>
  <si>
    <t xml:space="preserve">72101506
</t>
  </si>
  <si>
    <t xml:space="preserve">
81141804</t>
  </si>
  <si>
    <t>72102900</t>
  </si>
  <si>
    <t>Muebles Institucionales</t>
  </si>
  <si>
    <t>Plantas aromáticas, bebestibles y especias</t>
  </si>
  <si>
    <t xml:space="preserve">Caja menor productos cafetería y restaurante </t>
  </si>
  <si>
    <t>Azúcar</t>
  </si>
  <si>
    <t xml:space="preserve">Dotación </t>
  </si>
  <si>
    <t>Caja Menor  Papeleria, utiles escritorio y oficina</t>
  </si>
  <si>
    <t xml:space="preserve">Adquisición de Papel bond oficina, cajas, carpetas </t>
  </si>
  <si>
    <t>Papel higiénico, servilletas, toallas papel, vasos de cartón</t>
  </si>
  <si>
    <t>Diesel combustible vehiculo</t>
  </si>
  <si>
    <t>Toner impresoras</t>
  </si>
  <si>
    <t>Creolina, alcohol y limpiavidrios</t>
  </si>
  <si>
    <t xml:space="preserve">Limpiones, toallas, traperos (aseo) </t>
  </si>
  <si>
    <t xml:space="preserve">Jabón, liquidos para aseo </t>
  </si>
  <si>
    <t>Otros productos plasticos (desechables, escobas,otros aseo)</t>
  </si>
  <si>
    <t xml:space="preserve">Suministros de escritorio ( ganchos, esferos, lapices, cosedoras etc) </t>
  </si>
  <si>
    <t>Adquisición de Token para trámites con el Ministerio de Hacienda</t>
  </si>
  <si>
    <t>Mantenimiento infraestructura segundo piso</t>
  </si>
  <si>
    <t>Caja Menor - Transporte</t>
  </si>
  <si>
    <t>Servicio Público Energia</t>
  </si>
  <si>
    <t xml:space="preserve">Servicio Público Agua </t>
  </si>
  <si>
    <t xml:space="preserve">SEGUROS </t>
  </si>
  <si>
    <t xml:space="preserve">SEGUROS VIGENCIA FUTURA </t>
  </si>
  <si>
    <t>Caja menor, gastos judiciales</t>
  </si>
  <si>
    <t>Contrato de prestación de servicios como apoyo Administrativo</t>
  </si>
  <si>
    <t>Contrato de prestación de servicios como apoyo financiero</t>
  </si>
  <si>
    <t xml:space="preserve">Contrato de prestación de servicios profesionales como apoyo al procedimiento de tesorería </t>
  </si>
  <si>
    <t xml:space="preserve">Honorarios Consejo Directivo </t>
  </si>
  <si>
    <t xml:space="preserve">Prestar servicios profesionales de indole tributario para el diagnostico e implementacion en temas de responsabilidad de impuestos de la entidad </t>
  </si>
  <si>
    <t xml:space="preserve">Contrato de prestación de servicios profesionales  como apoyo en temas administrativos e implementacion y ejecuciòn del plan institucional de gestion ambiental de la entidad  </t>
  </si>
  <si>
    <t>Contrato de prestación de servicios Profesionales de apoyo a la elaboración de estudios previos y  supervisión Tecnica de la obra</t>
  </si>
  <si>
    <t xml:space="preserve">Contrato de prestación de servicios para apoyo administrativo del proceso Gestión Humana </t>
  </si>
  <si>
    <t>Prestar servicios profesionales de índole jurídico para el acompañamiento en las diferentes etapas del proceso contractual en todas las áreas del Instituto Nacional para Ciegos.</t>
  </si>
  <si>
    <t>Contrato de prestación de servicios como apoyo a la oficina de control interno</t>
  </si>
  <si>
    <t xml:space="preserve">Servicio teléfono y celular </t>
  </si>
  <si>
    <t>Servicio de Internet Canal Principal</t>
  </si>
  <si>
    <t xml:space="preserve">Servicio vigilancia </t>
  </si>
  <si>
    <t xml:space="preserve">Servicio vigilancia VIGENCIA FUTURA </t>
  </si>
  <si>
    <t>Servicios de aseo</t>
  </si>
  <si>
    <t xml:space="preserve">Servicios de aseo VIGENCIA FUTURA </t>
  </si>
  <si>
    <t>Servicios complementarios de aseo (Aspiradora, greca, estufa)</t>
  </si>
  <si>
    <t>Servicios complementarios de aseo (Aspiradora, greca, estufa) VIGENCIA FUTURA</t>
  </si>
  <si>
    <t>Mantenimiento Vehículo</t>
  </si>
  <si>
    <t>Contratación de prestación de servicios para el mantenimiento del ascensor del INCI</t>
  </si>
  <si>
    <t>Certificación ascensor</t>
  </si>
  <si>
    <t xml:space="preserve">Contratación de prestación de servicios para el mantenimiento de los aires acondicionados </t>
  </si>
  <si>
    <t>Contratación servicio de mantenimiento recarga de extintores y de hidratante de red  contra incendios</t>
  </si>
  <si>
    <t xml:space="preserve">Caja Menor .Mantenimiento bienes inmuebles . Caja Menor </t>
  </si>
  <si>
    <t>Mantenimiento de puerta vehicular y torniquete de ingreso</t>
  </si>
  <si>
    <t>Contratación de prestación de servicios para el mantenimiento de los equipos cómputo</t>
  </si>
  <si>
    <t xml:space="preserve">Contratación mantenimiento correctivo y preventivo de Impresoras, scanner y otros dispositivos de informática  </t>
  </si>
  <si>
    <t>Contrato bolsa de repuestos para impresoras, scanner y otros dispositivos de informática</t>
  </si>
  <si>
    <t xml:space="preserve">Servicio Publico Aseo </t>
  </si>
  <si>
    <t xml:space="preserve">Contratación servicio de Fumigacion </t>
  </si>
  <si>
    <t>Servicios de Bienestar</t>
  </si>
  <si>
    <t>Servicio para la Limpieza de la  fachada, persianas, vidrios y tanques de la entidad</t>
  </si>
  <si>
    <t xml:space="preserve">Elementos de protección personal </t>
  </si>
  <si>
    <t>IMPUESTO SOBRE VEHICULOS AUTOMOTORES</t>
  </si>
  <si>
    <t>CUOTA DE FISCALIZACIÓN Y AUDITAJE</t>
  </si>
  <si>
    <t xml:space="preserve">IMPUESTO PREDIAL </t>
  </si>
  <si>
    <t>Administrativo</t>
  </si>
  <si>
    <t>Gestión humana</t>
  </si>
  <si>
    <t xml:space="preserve">Evaluación y Mejoramiento </t>
  </si>
  <si>
    <t>Financiero</t>
  </si>
  <si>
    <t>Menor cuantía</t>
  </si>
  <si>
    <t>NACION</t>
  </si>
  <si>
    <t>Magdalena Pedraza</t>
  </si>
  <si>
    <t>controlinterno@inci.gov.co</t>
  </si>
  <si>
    <t>FUNCIONAMIENTO</t>
  </si>
  <si>
    <t xml:space="preserve">Paula Castaño </t>
  </si>
  <si>
    <t>CAJA MENOR</t>
  </si>
  <si>
    <t>OBRA</t>
  </si>
  <si>
    <t>Antonio Betancourt</t>
  </si>
  <si>
    <t>IMPUESTO VEHÍCULOS</t>
  </si>
  <si>
    <t>IMPUESTO PREDIAL</t>
  </si>
  <si>
    <t>Laura Caballero</t>
  </si>
  <si>
    <t>Ana Patricia Hormaza</t>
  </si>
  <si>
    <t>A-02-02-01-002-007</t>
  </si>
  <si>
    <t>Contratar el suministro de tiquetes aéreos en rutas nacionales e internacionales disponibles por SATENA y otros operadores para los servidores públicos del Instituto Nacional para Ciegos – INCI, para el cumplimiento de sus funciones</t>
  </si>
  <si>
    <t>Valor contrato</t>
  </si>
  <si>
    <t>PEDRO ANDRADE</t>
  </si>
  <si>
    <t>PROPIOS 20</t>
  </si>
  <si>
    <t>PROPIOS 21</t>
  </si>
  <si>
    <t>TOPE</t>
  </si>
  <si>
    <t>DIFERENCIA</t>
  </si>
  <si>
    <t>FALTA PARA DEJAR EN 0 LA DIFERENCIA</t>
  </si>
  <si>
    <t>Software, Luz, Agua, Bienestar, compu, impresoras, repuestos, papel higienico, Dr Diego, Toner, Papel bond, disel carro, escritorio, contrato tesorería, protección personal</t>
  </si>
  <si>
    <t>tesoreria $500.000 por mes</t>
  </si>
  <si>
    <t xml:space="preserve">TOTAL CUATRENIO </t>
  </si>
  <si>
    <t>PROYECTO MEJORAMIENTO DE CONDICIONES PARA LA GARANTIA DE LOS DERECHOS DE LAS PERSONAS CON DISCAPACIDAD VISUAL</t>
  </si>
  <si>
    <t>TOTAL CUATRENIO</t>
  </si>
  <si>
    <t>OTRAS TRANSFERENCIAS - DISTRIBUCIÓN PREVIO CONCEPTO DGPPN</t>
  </si>
  <si>
    <t>A-03-03-01-999</t>
  </si>
  <si>
    <t>42211700;
42211702;
44101800;
44101802;
44101803</t>
  </si>
  <si>
    <t>82111604;
81141701</t>
  </si>
  <si>
    <t>82111604;
82141502</t>
  </si>
  <si>
    <t>44122117;
44103103</t>
  </si>
  <si>
    <t>13102030;
13111045;
60121015</t>
  </si>
  <si>
    <t>73152101;
73152102;
73152103; 
81101707</t>
  </si>
  <si>
    <t>73152101;
73152102;
73152103;
81101707</t>
  </si>
  <si>
    <t>86101705;
86101810</t>
  </si>
  <si>
    <t>72103302;
81111803;
81111804</t>
  </si>
  <si>
    <t>14101501;
60121124;
14111507;
44122003;
44111515</t>
  </si>
  <si>
    <t>14111704;
14111705</t>
  </si>
  <si>
    <t>44121702;
27112309;
42312009</t>
  </si>
  <si>
    <t>81112200;
81112300</t>
  </si>
  <si>
    <t>FP-02</t>
  </si>
  <si>
    <t>FP-03</t>
  </si>
  <si>
    <t>FP-04</t>
  </si>
  <si>
    <t>GG-01</t>
  </si>
  <si>
    <t>GG-02</t>
  </si>
  <si>
    <t>GG-03</t>
  </si>
  <si>
    <t>GG-04</t>
  </si>
  <si>
    <t>GG-05</t>
  </si>
  <si>
    <t>GG-06</t>
  </si>
  <si>
    <t>GG-07</t>
  </si>
  <si>
    <t>GG-08</t>
  </si>
  <si>
    <t>GG-09</t>
  </si>
  <si>
    <t>GG-10</t>
  </si>
  <si>
    <t xml:space="preserve">GG-11 </t>
  </si>
  <si>
    <t>TR-01</t>
  </si>
  <si>
    <t>TR-02</t>
  </si>
  <si>
    <t>TR-03</t>
  </si>
  <si>
    <t>TR-04</t>
  </si>
  <si>
    <t>TR-05</t>
  </si>
  <si>
    <t>Café</t>
  </si>
  <si>
    <t>Mínima Cuantía</t>
  </si>
  <si>
    <t>Servicio de Internet Canal Principal 
Vigencia Futura</t>
  </si>
  <si>
    <t>SENTENCIAS</t>
  </si>
  <si>
    <t>A-08-01-02-006</t>
  </si>
  <si>
    <t>345 días</t>
  </si>
  <si>
    <t>165 días</t>
  </si>
  <si>
    <t>10 días</t>
  </si>
  <si>
    <t>Contratación de servicios profesionales para el diseño, construcción y administración de los canales digitales de comunicación del INCI</t>
  </si>
  <si>
    <t>Adquisición de guillotinas y perfiladora de láminas de zinc y acrílicos</t>
  </si>
  <si>
    <t>23153412;
45101705;
45101704</t>
  </si>
  <si>
    <t>Adquisición de plotter de corte para autoadhesivos</t>
  </si>
  <si>
    <t>43212107;
60121301</t>
  </si>
  <si>
    <t>Contratación servicio de Fumigacion 
VIGENCIA FUTURA</t>
  </si>
  <si>
    <t>Luis Ignacio Maya</t>
  </si>
  <si>
    <t>Modificación 18 de enero</t>
  </si>
  <si>
    <t>TOTAL INVESTIGACIÓN</t>
  </si>
  <si>
    <t>SUB TOTAL INVESTIGACIÓN</t>
  </si>
  <si>
    <r>
      <t xml:space="preserve">Contratación de servicios profesionales para conseguir free press y la visualización de los mensajes institucionales en medios </t>
    </r>
    <r>
      <rPr>
        <sz val="11"/>
        <color theme="1"/>
        <rFont val="Arial"/>
        <family val="2"/>
      </rPr>
      <t>de comunicación.</t>
    </r>
  </si>
  <si>
    <t>Henry Díaz</t>
  </si>
  <si>
    <t>Jhon Jairo Jiménez</t>
  </si>
  <si>
    <t xml:space="preserve">CONTRATO  PRESTACIÓN SERVICIOS </t>
  </si>
  <si>
    <t xml:space="preserve">Prestar servicios tecnólogicos y de apoyo a la gestión para llevar a cabo la locución y producción de contenidos radiales y web sobre los derechos de la población con discapacidad visual, de la programación de la emisora virtual INCIRadio."   
</t>
  </si>
  <si>
    <t>PLAN DE ADQUISICIONES AÑO 2021 Versión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</si>
</sst>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_(* \(#,##0\);_(* &quot;-&quot;_);_(@_)"/>
    <numFmt numFmtId="165" formatCode="_(&quot;$&quot;\ * #,##0.00_);_(&quot;$&quot;\ * \(#,##0.00\);_(&quot;$&quot;\ * &quot;-&quot;??_);_(@_)"/>
    <numFmt numFmtId="166" formatCode="&quot;$&quot;\ #,##0.0"/>
    <numFmt numFmtId="167" formatCode="&quot;$&quot;\ #,##0.00"/>
    <numFmt numFmtId="168" formatCode="&quot;$&quot;\ #,##0"/>
    <numFmt numFmtId="169" formatCode="_(* #,##0_);_(* \(#,##0\);_(* &quot;-&quot;??_);_(@_)"/>
    <numFmt numFmtId="170" formatCode="_-* #.##0_-;\-* #.##0_-;_-* &quot;-&quot;_-;_-@_-"/>
    <numFmt numFmtId="171" formatCode="#.##0;\-#.##0"/>
    <numFmt numFmtId="172" formatCode="_-* #.##0.00_-;\-* #.##0.00_-;_-* &quot;-&quot;??_-;_-@_-"/>
    <numFmt numFmtId="173" formatCode="_(&quot;$&quot;\ * #,##0_);_(&quot;$&quot;\ * \(#,##0\);_(&quot;$&quot;\ *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2"/>
      <color theme="1"/>
      <name val="Arial"/>
      <family val="2"/>
    </font>
    <font>
      <sz val="14"/>
      <color theme="1"/>
      <name val="Arial"/>
      <family val="2"/>
    </font>
    <font>
      <b/>
      <sz val="14"/>
      <color theme="1"/>
      <name val="Arial"/>
      <family val="2"/>
    </font>
    <font>
      <b/>
      <sz val="12"/>
      <color theme="1"/>
      <name val="Arial"/>
      <family val="2"/>
    </font>
    <font>
      <u/>
      <sz val="11"/>
      <color theme="10"/>
      <name val="Calibri"/>
      <family val="2"/>
      <scheme val="minor"/>
    </font>
    <font>
      <b/>
      <sz val="12"/>
      <name val="Arial"/>
      <family val="2"/>
    </font>
    <font>
      <sz val="12"/>
      <name val="Arial"/>
      <family val="2"/>
    </font>
    <font>
      <b/>
      <sz val="9"/>
      <color indexed="81"/>
      <name val="Tahoma"/>
      <family val="2"/>
    </font>
    <font>
      <sz val="9"/>
      <color indexed="81"/>
      <name val="Tahoma"/>
      <family val="2"/>
    </font>
    <font>
      <b/>
      <sz val="14"/>
      <name val="Arial"/>
      <family val="2"/>
    </font>
    <font>
      <b/>
      <sz val="10"/>
      <color theme="1"/>
      <name val="Verdana"/>
      <family val="2"/>
    </font>
    <font>
      <sz val="11"/>
      <color rgb="FF000000"/>
      <name val="Calibri"/>
      <family val="2"/>
      <scheme val="minor"/>
    </font>
    <font>
      <sz val="14"/>
      <name val="Arial"/>
      <family val="2"/>
    </font>
    <font>
      <sz val="10"/>
      <name val="Arial"/>
      <family val="2"/>
    </font>
    <font>
      <sz val="10"/>
      <color theme="1"/>
      <name val="Verdana"/>
      <family val="2"/>
    </font>
    <font>
      <sz val="14"/>
      <color rgb="FFFF0000"/>
      <name val="Arial"/>
      <family val="2"/>
    </font>
    <font>
      <b/>
      <sz val="12"/>
      <color indexed="81"/>
      <name val="Tahoma"/>
      <family val="2"/>
    </font>
    <font>
      <b/>
      <sz val="12"/>
      <color rgb="FF000000"/>
      <name val="Arial"/>
      <family val="2"/>
    </font>
    <font>
      <b/>
      <sz val="12"/>
      <color theme="1"/>
      <name val="Calibri"/>
      <family val="2"/>
      <scheme val="minor"/>
    </font>
    <font>
      <sz val="11"/>
      <color rgb="FF000000"/>
      <name val="Arial"/>
      <family val="2"/>
    </font>
    <font>
      <sz val="10"/>
      <color theme="1"/>
      <name val="Arial"/>
      <family val="2"/>
    </font>
    <font>
      <sz val="12"/>
      <color theme="1"/>
      <name val="Calibri"/>
      <family val="2"/>
      <scheme val="minor"/>
    </font>
    <font>
      <sz val="11"/>
      <name val="Arial"/>
      <family val="2"/>
    </font>
    <font>
      <u/>
      <sz val="11"/>
      <color theme="10"/>
      <name val="Arial"/>
      <family val="2"/>
    </font>
    <font>
      <b/>
      <sz val="14"/>
      <color theme="1"/>
      <name val="Calibri"/>
      <family val="2"/>
      <scheme val="minor"/>
    </font>
    <font>
      <b/>
      <sz val="14"/>
      <color rgb="FF000000"/>
      <name val="Arial"/>
      <family val="2"/>
    </font>
    <font>
      <b/>
      <sz val="48"/>
      <color theme="4" tint="-0.249977111117893"/>
      <name val="Arial"/>
      <family val="2"/>
    </font>
  </fonts>
  <fills count="24">
    <fill>
      <patternFill patternType="none"/>
    </fill>
    <fill>
      <patternFill patternType="gray125"/>
    </fill>
    <fill>
      <patternFill patternType="solid">
        <fgColor theme="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59999389629810485"/>
        <bgColor rgb="FFFDE9D9"/>
      </patternFill>
    </fill>
    <fill>
      <patternFill patternType="solid">
        <fgColor rgb="FFDBE5F1"/>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theme="4"/>
      </top>
      <bottom/>
      <diagonal/>
    </border>
    <border>
      <left/>
      <right/>
      <top/>
      <bottom style="thin">
        <color indexed="64"/>
      </bottom>
      <diagonal/>
    </border>
  </borders>
  <cellStyleXfs count="15">
    <xf numFmtId="0" fontId="0" fillId="0" borderId="0"/>
    <xf numFmtId="164" fontId="1" fillId="0" borderId="0" applyFont="0" applyFill="0" applyBorder="0" applyAlignment="0" applyProtection="0"/>
    <xf numFmtId="165" fontId="1" fillId="0" borderId="0" applyFont="0" applyFill="0" applyBorder="0" applyAlignment="0" applyProtection="0"/>
    <xf numFmtId="0" fontId="3" fillId="2" borderId="0" applyNumberFormat="0" applyBorder="0" applyAlignment="0" applyProtection="0"/>
    <xf numFmtId="0" fontId="9" fillId="0" borderId="0" applyNumberFormat="0" applyFill="0" applyBorder="0" applyAlignment="0" applyProtection="0"/>
    <xf numFmtId="0" fontId="15" fillId="8" borderId="0" applyNumberFormat="0" applyBorder="0" applyProtection="0">
      <alignment horizontal="center" vertical="center"/>
    </xf>
    <xf numFmtId="170" fontId="1" fillId="0" borderId="0" applyFont="0" applyFill="0" applyBorder="0" applyAlignment="0" applyProtection="0"/>
    <xf numFmtId="165" fontId="16" fillId="0" borderId="0" applyFont="0" applyFill="0" applyBorder="0" applyAlignment="0" applyProtection="0"/>
    <xf numFmtId="0" fontId="1" fillId="0" borderId="0"/>
    <xf numFmtId="37" fontId="18" fillId="0" borderId="0"/>
    <xf numFmtId="49" fontId="19" fillId="0" borderId="0" applyFill="0" applyBorder="0" applyProtection="0">
      <alignment horizontal="left" vertical="center"/>
    </xf>
    <xf numFmtId="0" fontId="25" fillId="0" borderId="0"/>
    <xf numFmtId="171" fontId="18" fillId="0" borderId="0"/>
    <xf numFmtId="172" fontId="1" fillId="0" borderId="0" applyFont="0" applyFill="0" applyBorder="0" applyAlignment="0" applyProtection="0"/>
    <xf numFmtId="0" fontId="26" fillId="0" borderId="0"/>
  </cellStyleXfs>
  <cellXfs count="210">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vertical="center" wrapText="1"/>
    </xf>
    <xf numFmtId="0" fontId="4" fillId="0" borderId="0" xfId="0" applyFont="1" applyAlignment="1">
      <alignment horizontal="center" vertical="center" wrapText="1"/>
    </xf>
    <xf numFmtId="165" fontId="4" fillId="0" borderId="0" xfId="2" applyFont="1" applyAlignment="1">
      <alignment horizontal="center" vertical="center" wrapText="1"/>
    </xf>
    <xf numFmtId="0" fontId="4" fillId="0" borderId="1" xfId="0" applyFont="1" applyBorder="1" applyAlignment="1">
      <alignment horizontal="center" vertical="center" wrapText="1"/>
    </xf>
    <xf numFmtId="165" fontId="4" fillId="0" borderId="1" xfId="2"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1" xfId="0" applyFont="1" applyFill="1" applyBorder="1" applyAlignment="1">
      <alignment horizontal="center" vertical="center" wrapText="1"/>
    </xf>
    <xf numFmtId="165" fontId="10" fillId="4" borderId="1" xfId="2" applyFont="1" applyFill="1" applyBorder="1" applyAlignment="1">
      <alignment horizontal="center" vertical="center" wrapText="1"/>
    </xf>
    <xf numFmtId="165" fontId="10" fillId="4" borderId="2" xfId="2" applyFont="1" applyFill="1" applyBorder="1" applyAlignment="1">
      <alignment horizontal="center" vertical="center" wrapText="1"/>
    </xf>
    <xf numFmtId="0" fontId="11" fillId="0" borderId="0" xfId="0" applyFont="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65" fontId="5" fillId="0" borderId="1" xfId="2" applyFont="1" applyBorder="1" applyAlignment="1">
      <alignment horizontal="center" vertical="center"/>
    </xf>
    <xf numFmtId="0" fontId="5" fillId="0" borderId="1" xfId="0" applyFont="1" applyBorder="1" applyAlignment="1">
      <alignment horizontal="center" vertical="center"/>
    </xf>
    <xf numFmtId="166" fontId="5" fillId="0" borderId="1" xfId="0" applyNumberFormat="1" applyFont="1" applyBorder="1" applyAlignment="1">
      <alignment horizontal="center" vertical="center"/>
    </xf>
    <xf numFmtId="165" fontId="5" fillId="0" borderId="1" xfId="2" applyFont="1" applyFill="1" applyBorder="1" applyAlignment="1">
      <alignment horizontal="center" vertical="center"/>
    </xf>
    <xf numFmtId="165" fontId="5" fillId="0" borderId="3" xfId="2" applyFont="1" applyFill="1" applyBorder="1" applyAlignment="1">
      <alignment horizontal="center" vertical="center"/>
    </xf>
    <xf numFmtId="0" fontId="5" fillId="0" borderId="0" xfId="0" applyFont="1" applyFill="1"/>
    <xf numFmtId="0" fontId="5" fillId="0" borderId="1" xfId="0" applyFont="1" applyFill="1" applyBorder="1" applyAlignment="1">
      <alignment horizontal="center" vertical="center"/>
    </xf>
    <xf numFmtId="166" fontId="5" fillId="0" borderId="1" xfId="0" applyNumberFormat="1" applyFont="1" applyFill="1" applyBorder="1" applyAlignment="1">
      <alignment horizontal="center" vertical="center"/>
    </xf>
    <xf numFmtId="165" fontId="5" fillId="6" borderId="1" xfId="2" applyFont="1" applyFill="1" applyBorder="1" applyAlignment="1">
      <alignment horizontal="center" vertical="center"/>
    </xf>
    <xf numFmtId="0" fontId="5" fillId="6" borderId="1" xfId="0" applyFont="1" applyFill="1" applyBorder="1" applyAlignment="1">
      <alignment horizontal="center" vertical="center"/>
    </xf>
    <xf numFmtId="167" fontId="5" fillId="6" borderId="1" xfId="0" applyNumberFormat="1" applyFont="1" applyFill="1" applyBorder="1" applyAlignment="1">
      <alignment horizontal="center" vertical="center"/>
    </xf>
    <xf numFmtId="168" fontId="5"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165" fontId="11" fillId="0" borderId="1" xfId="2" applyFont="1" applyFill="1" applyBorder="1" applyAlignment="1">
      <alignment horizontal="center" vertical="center"/>
    </xf>
    <xf numFmtId="0" fontId="11" fillId="0" borderId="1" xfId="0" applyFont="1" applyFill="1" applyBorder="1" applyAlignment="1">
      <alignment horizontal="center" vertical="center"/>
    </xf>
    <xf numFmtId="168" fontId="11" fillId="0" borderId="1"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165" fontId="5" fillId="3" borderId="1" xfId="2" applyFont="1" applyFill="1" applyBorder="1" applyAlignment="1">
      <alignment horizontal="center" vertical="center"/>
    </xf>
    <xf numFmtId="0" fontId="5" fillId="3" borderId="1" xfId="0" applyFont="1" applyFill="1" applyBorder="1" applyAlignment="1">
      <alignment horizontal="center" vertical="center"/>
    </xf>
    <xf numFmtId="168" fontId="5" fillId="3" borderId="1" xfId="0" applyNumberFormat="1"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168" fontId="5" fillId="0" borderId="1" xfId="0" applyNumberFormat="1" applyFont="1" applyBorder="1" applyAlignment="1">
      <alignment horizontal="center" vertical="center"/>
    </xf>
    <xf numFmtId="165" fontId="5" fillId="0" borderId="4" xfId="2" applyFont="1" applyFill="1" applyBorder="1" applyAlignment="1">
      <alignment horizontal="center" vertical="center"/>
    </xf>
    <xf numFmtId="0" fontId="5" fillId="0" borderId="0" xfId="0" applyFont="1"/>
    <xf numFmtId="0" fontId="5" fillId="0" borderId="0" xfId="0" applyFont="1" applyAlignment="1">
      <alignment horizontal="left" vertical="center" wrapText="1"/>
    </xf>
    <xf numFmtId="165" fontId="5" fillId="0" borderId="0" xfId="2" applyFont="1" applyAlignment="1">
      <alignment horizontal="center" vertical="center"/>
    </xf>
    <xf numFmtId="0" fontId="5" fillId="0" borderId="0" xfId="0" applyFont="1" applyAlignment="1">
      <alignment horizontal="center" vertical="center"/>
    </xf>
    <xf numFmtId="0" fontId="7" fillId="5" borderId="5" xfId="0" applyFont="1" applyFill="1" applyBorder="1" applyAlignment="1">
      <alignment horizontal="center" vertical="center"/>
    </xf>
    <xf numFmtId="0" fontId="14" fillId="7" borderId="6" xfId="0" applyFont="1" applyFill="1" applyBorder="1" applyAlignment="1">
      <alignment horizontal="center" vertical="center" wrapText="1"/>
    </xf>
    <xf numFmtId="164" fontId="14" fillId="7" borderId="6" xfId="1" applyFont="1" applyFill="1" applyBorder="1" applyAlignment="1">
      <alignment horizontal="center" vertical="center" wrapText="1"/>
    </xf>
    <xf numFmtId="0" fontId="14" fillId="9" borderId="6" xfId="5" applyFont="1" applyFill="1" applyBorder="1" applyAlignment="1" applyProtection="1">
      <alignment horizontal="center" vertical="center" wrapText="1"/>
    </xf>
    <xf numFmtId="169" fontId="14" fillId="9" borderId="6" xfId="3" applyNumberFormat="1" applyFont="1" applyFill="1" applyBorder="1" applyAlignment="1" applyProtection="1">
      <alignment horizontal="center" vertical="center" wrapText="1"/>
    </xf>
    <xf numFmtId="169" fontId="14" fillId="10" borderId="6" xfId="3" applyNumberFormat="1" applyFont="1" applyFill="1" applyBorder="1" applyAlignment="1" applyProtection="1">
      <alignment horizontal="center" vertical="center" wrapText="1"/>
    </xf>
    <xf numFmtId="169" fontId="14" fillId="5" borderId="6" xfId="3" applyNumberFormat="1" applyFont="1" applyFill="1" applyBorder="1" applyAlignment="1" applyProtection="1">
      <alignment horizontal="center" vertical="center" wrapText="1"/>
    </xf>
    <xf numFmtId="170" fontId="14" fillId="5" borderId="6" xfId="6" applyFont="1" applyFill="1" applyBorder="1" applyAlignment="1" applyProtection="1">
      <alignment horizontal="center" vertical="center" wrapText="1"/>
    </xf>
    <xf numFmtId="165" fontId="14" fillId="5" borderId="6" xfId="7" applyFont="1" applyFill="1" applyBorder="1" applyAlignment="1" applyProtection="1">
      <alignment horizontal="center" vertical="center" wrapText="1"/>
    </xf>
    <xf numFmtId="14" fontId="14" fillId="5" borderId="6" xfId="3" applyNumberFormat="1" applyFont="1" applyFill="1" applyBorder="1" applyAlignment="1" applyProtection="1">
      <alignment horizontal="center" vertical="center" wrapText="1"/>
    </xf>
    <xf numFmtId="0" fontId="14" fillId="5" borderId="7" xfId="8" applyFont="1" applyFill="1" applyBorder="1" applyAlignment="1">
      <alignment horizontal="center" vertical="center" wrapText="1"/>
    </xf>
    <xf numFmtId="0" fontId="6" fillId="0" borderId="0" xfId="0" applyFont="1"/>
    <xf numFmtId="0" fontId="6" fillId="0" borderId="1" xfId="0" applyFont="1" applyBorder="1"/>
    <xf numFmtId="0" fontId="17" fillId="0" borderId="1" xfId="0" applyFont="1" applyFill="1" applyBorder="1" applyAlignment="1">
      <alignment horizontal="center" vertical="center" wrapText="1"/>
    </xf>
    <xf numFmtId="37" fontId="17" fillId="0" borderId="1" xfId="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49" fontId="6" fillId="0" borderId="1" xfId="10" applyFont="1" applyFill="1" applyBorder="1" applyAlignment="1" applyProtection="1">
      <alignment horizontal="center" vertical="center" wrapText="1"/>
      <protection locked="0"/>
    </xf>
    <xf numFmtId="0" fontId="6" fillId="0" borderId="1" xfId="8" applyFont="1" applyFill="1" applyBorder="1" applyAlignment="1">
      <alignment horizontal="center" vertical="center" wrapText="1"/>
    </xf>
    <xf numFmtId="165" fontId="20" fillId="0" borderId="1" xfId="2" applyFont="1" applyFill="1" applyBorder="1" applyAlignment="1">
      <alignment horizontal="center" vertical="center"/>
    </xf>
    <xf numFmtId="37" fontId="17" fillId="0" borderId="1" xfId="9" applyNumberFormat="1" applyFont="1" applyFill="1" applyBorder="1" applyAlignment="1">
      <alignment horizontal="center" vertical="center" wrapText="1"/>
    </xf>
    <xf numFmtId="49" fontId="6" fillId="0" borderId="1" xfId="10" applyNumberFormat="1" applyFont="1" applyFill="1" applyBorder="1" applyAlignment="1">
      <alignment horizontal="center" vertical="center" wrapText="1"/>
    </xf>
    <xf numFmtId="0" fontId="6" fillId="0" borderId="1" xfId="8" applyNumberFormat="1" applyFont="1" applyBorder="1" applyAlignment="1">
      <alignment horizontal="center" vertical="center" wrapText="1"/>
    </xf>
    <xf numFmtId="165" fontId="20" fillId="0" borderId="1" xfId="2" applyNumberFormat="1" applyFont="1" applyBorder="1" applyAlignment="1">
      <alignment horizontal="center" vertical="center"/>
    </xf>
    <xf numFmtId="165" fontId="6" fillId="0" borderId="1" xfId="2" applyNumberFormat="1" applyFont="1" applyFill="1" applyBorder="1" applyAlignment="1">
      <alignment horizontal="center" vertical="center"/>
    </xf>
    <xf numFmtId="165" fontId="6" fillId="0" borderId="1" xfId="2" applyNumberFormat="1" applyFont="1" applyBorder="1" applyAlignment="1">
      <alignment horizontal="center" vertical="center"/>
    </xf>
    <xf numFmtId="0" fontId="22" fillId="5" borderId="8"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4" fillId="0" borderId="10" xfId="0" applyFont="1" applyBorder="1" applyAlignment="1">
      <alignment horizontal="justify" vertical="center" wrapText="1"/>
    </xf>
    <xf numFmtId="0" fontId="24" fillId="0" borderId="1" xfId="0" applyFont="1" applyBorder="1" applyAlignment="1">
      <alignment horizontal="center" vertical="center" wrapText="1"/>
    </xf>
    <xf numFmtId="9" fontId="2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165" fontId="7" fillId="3" borderId="1" xfId="2"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27" fillId="0" borderId="1" xfId="5" applyFont="1" applyFill="1" applyBorder="1" applyAlignment="1">
      <alignment horizontal="center" vertical="center" wrapText="1"/>
    </xf>
    <xf numFmtId="0" fontId="27" fillId="0" borderId="1" xfId="0" applyFont="1" applyBorder="1" applyAlignment="1">
      <alignment horizontal="center" vertical="center" wrapText="1"/>
    </xf>
    <xf numFmtId="1" fontId="4" fillId="0" borderId="1" xfId="10" applyNumberFormat="1" applyFont="1" applyBorder="1" applyAlignment="1">
      <alignment horizontal="center" vertical="center" wrapText="1"/>
    </xf>
    <xf numFmtId="0" fontId="4" fillId="0" borderId="1" xfId="11" applyNumberFormat="1" applyFont="1" applyBorder="1" applyAlignment="1">
      <alignment horizontal="center" vertical="center" wrapText="1"/>
    </xf>
    <xf numFmtId="0" fontId="4" fillId="0" borderId="1" xfId="10" applyNumberFormat="1" applyFont="1" applyBorder="1" applyAlignment="1">
      <alignment horizontal="center" vertical="center" wrapText="1"/>
    </xf>
    <xf numFmtId="0" fontId="9" fillId="0" borderId="1" xfId="4" applyFont="1" applyBorder="1" applyAlignment="1">
      <alignment horizontal="center" vertical="center" wrapText="1"/>
    </xf>
    <xf numFmtId="0" fontId="4" fillId="0" borderId="1" xfId="8" applyNumberFormat="1" applyFont="1" applyBorder="1" applyAlignment="1">
      <alignment horizontal="center" vertical="center" wrapText="1"/>
    </xf>
    <xf numFmtId="37" fontId="27" fillId="0" borderId="1" xfId="9" applyNumberFormat="1" applyFont="1" applyBorder="1" applyAlignment="1">
      <alignment horizontal="center" vertical="center" wrapText="1"/>
    </xf>
    <xf numFmtId="49" fontId="4" fillId="0" borderId="1" xfId="10" applyNumberFormat="1" applyFont="1" applyBorder="1" applyAlignment="1">
      <alignment horizontal="center" vertical="center" wrapText="1"/>
    </xf>
    <xf numFmtId="0" fontId="4" fillId="0" borderId="1" xfId="10" applyNumberFormat="1" applyFont="1" applyFill="1" applyBorder="1" applyAlignment="1">
      <alignment horizontal="center" vertical="center" wrapText="1"/>
    </xf>
    <xf numFmtId="1" fontId="27" fillId="0" borderId="1" xfId="12" applyNumberFormat="1" applyFont="1" applyBorder="1" applyAlignment="1">
      <alignment horizontal="center" vertical="center" wrapText="1"/>
    </xf>
    <xf numFmtId="171" fontId="27" fillId="0" borderId="1" xfId="12" applyNumberFormat="1" applyFont="1" applyBorder="1" applyAlignment="1">
      <alignment horizontal="left" vertical="center" wrapText="1"/>
    </xf>
    <xf numFmtId="0" fontId="0" fillId="0" borderId="1" xfId="0" applyFont="1" applyFill="1" applyBorder="1" applyAlignment="1">
      <alignment horizontal="center" vertical="center" wrapText="1"/>
    </xf>
    <xf numFmtId="0" fontId="4" fillId="0" borderId="1" xfId="8" applyNumberFormat="1" applyFont="1" applyFill="1" applyBorder="1" applyAlignment="1">
      <alignment horizontal="center" vertical="center" wrapText="1"/>
    </xf>
    <xf numFmtId="49" fontId="4" fillId="0" borderId="1" xfId="2"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4" fillId="0" borderId="1" xfId="4" applyNumberFormat="1" applyFont="1" applyBorder="1" applyAlignment="1">
      <alignment horizontal="center" vertical="center" wrapText="1"/>
    </xf>
    <xf numFmtId="0" fontId="4" fillId="13" borderId="1" xfId="8" applyFont="1" applyFill="1" applyBorder="1" applyAlignment="1">
      <alignment horizontal="center" vertical="center"/>
    </xf>
    <xf numFmtId="0" fontId="27" fillId="0" borderId="1" xfId="8" applyNumberFormat="1" applyFont="1" applyBorder="1" applyAlignment="1">
      <alignment horizontal="center" vertical="center" wrapText="1"/>
    </xf>
    <xf numFmtId="169" fontId="27" fillId="0" borderId="1" xfId="13"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27" fillId="0" borderId="1" xfId="13" applyNumberFormat="1" applyFont="1" applyBorder="1" applyAlignment="1">
      <alignment horizontal="center" vertical="center" wrapText="1"/>
    </xf>
    <xf numFmtId="0" fontId="27" fillId="0" borderId="1" xfId="11" applyNumberFormat="1" applyFont="1" applyBorder="1" applyAlignment="1">
      <alignment horizontal="center" vertical="center" wrapText="1"/>
    </xf>
    <xf numFmtId="169" fontId="27" fillId="0" borderId="4" xfId="13" applyNumberFormat="1" applyFont="1" applyBorder="1" applyAlignment="1">
      <alignment horizontal="center" vertical="center" wrapText="1"/>
    </xf>
    <xf numFmtId="0" fontId="4" fillId="0" borderId="1" xfId="5" applyFont="1" applyFill="1" applyBorder="1" applyAlignment="1">
      <alignment horizontal="center" vertical="center"/>
    </xf>
    <xf numFmtId="0" fontId="2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5" applyFont="1" applyFill="1" applyBorder="1" applyAlignment="1">
      <alignment horizontal="center" vertical="center" wrapText="1"/>
    </xf>
    <xf numFmtId="0" fontId="28" fillId="0" borderId="1" xfId="4" applyFont="1" applyFill="1" applyBorder="1" applyAlignment="1">
      <alignment horizontal="center" vertical="center" wrapText="1"/>
    </xf>
    <xf numFmtId="0" fontId="27" fillId="0" borderId="1" xfId="8" applyNumberFormat="1" applyFont="1" applyFill="1" applyBorder="1" applyAlignment="1">
      <alignment horizontal="left" vertical="center" wrapText="1"/>
    </xf>
    <xf numFmtId="173" fontId="4" fillId="0" borderId="1" xfId="2" applyNumberFormat="1" applyFont="1" applyFill="1" applyBorder="1" applyAlignment="1">
      <alignment horizontal="center" vertical="center"/>
    </xf>
    <xf numFmtId="169" fontId="27" fillId="0" borderId="1" xfId="3" applyNumberFormat="1" applyFont="1" applyFill="1" applyBorder="1" applyAlignment="1">
      <alignment horizontal="center" vertical="center" wrapText="1"/>
    </xf>
    <xf numFmtId="49" fontId="27" fillId="0" borderId="1" xfId="8" applyNumberFormat="1" applyFont="1" applyFill="1" applyBorder="1" applyAlignment="1">
      <alignment horizontal="left" vertical="center"/>
    </xf>
    <xf numFmtId="0" fontId="27" fillId="0" borderId="1" xfId="8" applyNumberFormat="1" applyFont="1" applyFill="1" applyBorder="1" applyAlignment="1">
      <alignment horizontal="center" vertical="center" wrapText="1"/>
    </xf>
    <xf numFmtId="0" fontId="4" fillId="0" borderId="1" xfId="11" applyNumberFormat="1" applyFont="1" applyFill="1" applyBorder="1" applyAlignment="1">
      <alignment horizontal="center" vertical="center" wrapText="1"/>
    </xf>
    <xf numFmtId="49" fontId="28" fillId="0" borderId="1" xfId="4"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165" fontId="4" fillId="0" borderId="14" xfId="2" applyNumberFormat="1" applyFont="1" applyFill="1" applyBorder="1" applyAlignment="1">
      <alignment vertical="center"/>
    </xf>
    <xf numFmtId="0" fontId="27" fillId="0" borderId="1" xfId="14" applyNumberFormat="1" applyFont="1" applyFill="1" applyBorder="1" applyAlignment="1">
      <alignment horizontal="left" vertical="center"/>
    </xf>
    <xf numFmtId="0" fontId="27" fillId="0" borderId="1" xfId="14"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65" fontId="27" fillId="0" borderId="1" xfId="2" applyNumberFormat="1" applyFont="1" applyFill="1" applyBorder="1" applyAlignment="1">
      <alignment horizontal="center" vertical="center" wrapText="1"/>
    </xf>
    <xf numFmtId="0" fontId="9" fillId="0" borderId="1" xfId="4" applyFill="1" applyBorder="1" applyAlignment="1">
      <alignment horizontal="center" vertical="center" wrapText="1"/>
    </xf>
    <xf numFmtId="0" fontId="6" fillId="10" borderId="1" xfId="0" applyFont="1" applyFill="1" applyBorder="1" applyAlignment="1">
      <alignment horizontal="center" vertical="center" wrapText="1"/>
    </xf>
    <xf numFmtId="165" fontId="6" fillId="10" borderId="1" xfId="2" applyFont="1" applyFill="1" applyBorder="1" applyAlignment="1">
      <alignment horizontal="center" vertical="center" wrapText="1"/>
    </xf>
    <xf numFmtId="165" fontId="4" fillId="12" borderId="0" xfId="2" applyFont="1" applyFill="1" applyAlignment="1">
      <alignment horizontal="center" vertical="center" wrapText="1"/>
    </xf>
    <xf numFmtId="0" fontId="6" fillId="5" borderId="1" xfId="0" applyFont="1" applyFill="1" applyBorder="1" applyAlignment="1">
      <alignment horizontal="center" vertical="center" wrapText="1"/>
    </xf>
    <xf numFmtId="165" fontId="6" fillId="5"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4" fillId="9" borderId="0" xfId="0" applyFont="1" applyFill="1" applyAlignment="1">
      <alignment horizontal="center" vertical="center" wrapText="1"/>
    </xf>
    <xf numFmtId="165" fontId="4" fillId="9" borderId="0" xfId="2" applyFont="1" applyFill="1" applyAlignment="1">
      <alignment horizontal="center" vertical="center" wrapText="1"/>
    </xf>
    <xf numFmtId="173" fontId="27" fillId="0" borderId="1" xfId="2" applyNumberFormat="1" applyFont="1" applyFill="1" applyBorder="1" applyAlignment="1">
      <alignment horizontal="center" vertical="center"/>
    </xf>
    <xf numFmtId="0" fontId="0" fillId="0" borderId="11" xfId="0" applyBorder="1" applyAlignment="1">
      <alignment horizontal="center" vertical="center"/>
    </xf>
    <xf numFmtId="9" fontId="0" fillId="0" borderId="11" xfId="0" applyNumberFormat="1" applyBorder="1" applyAlignment="1">
      <alignment horizontal="center" vertical="center"/>
    </xf>
    <xf numFmtId="0" fontId="24" fillId="0" borderId="10" xfId="0" applyFont="1" applyFill="1" applyBorder="1" applyAlignment="1">
      <alignment horizontal="justify" vertical="center" wrapText="1"/>
    </xf>
    <xf numFmtId="10" fontId="24" fillId="0" borderId="1" xfId="0" applyNumberFormat="1" applyFont="1" applyFill="1" applyBorder="1" applyAlignment="1">
      <alignment horizontal="center" vertical="center" wrapText="1"/>
    </xf>
    <xf numFmtId="9" fontId="0" fillId="0" borderId="11" xfId="0" applyNumberFormat="1" applyFill="1" applyBorder="1" applyAlignment="1">
      <alignment horizontal="center" vertical="center"/>
    </xf>
    <xf numFmtId="0" fontId="24" fillId="0" borderId="1" xfId="0" applyFont="1" applyFill="1" applyBorder="1" applyAlignment="1">
      <alignment horizontal="center" vertical="center" wrapText="1"/>
    </xf>
    <xf numFmtId="0" fontId="0" fillId="0" borderId="11" xfId="0" applyFill="1" applyBorder="1" applyAlignment="1">
      <alignment horizontal="center" vertical="center"/>
    </xf>
    <xf numFmtId="9" fontId="24" fillId="0" borderId="1" xfId="0" applyNumberFormat="1" applyFont="1" applyFill="1" applyBorder="1" applyAlignment="1">
      <alignment horizontal="center" vertical="center" wrapText="1"/>
    </xf>
    <xf numFmtId="0" fontId="24" fillId="0" borderId="12" xfId="0" applyFont="1" applyFill="1" applyBorder="1" applyAlignment="1">
      <alignment horizontal="justify" vertical="center" wrapText="1"/>
    </xf>
    <xf numFmtId="10" fontId="24" fillId="0" borderId="4" xfId="0" applyNumberFormat="1" applyFont="1" applyFill="1" applyBorder="1" applyAlignment="1">
      <alignment horizontal="center" vertical="center" wrapText="1"/>
    </xf>
    <xf numFmtId="9" fontId="0" fillId="0" borderId="13" xfId="0" applyNumberFormat="1" applyFill="1" applyBorder="1" applyAlignment="1">
      <alignment horizontal="center" vertical="center"/>
    </xf>
    <xf numFmtId="0" fontId="22" fillId="5" borderId="1" xfId="0" applyFont="1" applyFill="1" applyBorder="1" applyAlignment="1">
      <alignment horizontal="center" vertical="center" wrapText="1"/>
    </xf>
    <xf numFmtId="0" fontId="24" fillId="0" borderId="1" xfId="0" applyFont="1" applyBorder="1" applyAlignment="1">
      <alignment horizontal="justify" vertical="center" wrapText="1"/>
    </xf>
    <xf numFmtId="0" fontId="29" fillId="0" borderId="0" xfId="0" applyFont="1" applyBorder="1" applyAlignment="1">
      <alignment horizontal="center" vertical="center"/>
    </xf>
    <xf numFmtId="0" fontId="30" fillId="0" borderId="0" xfId="0" applyFont="1" applyBorder="1" applyAlignment="1">
      <alignment horizontal="justify" vertical="center" wrapText="1"/>
    </xf>
    <xf numFmtId="0" fontId="4" fillId="1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9" borderId="1" xfId="0" applyFont="1" applyFill="1" applyBorder="1" applyAlignment="1">
      <alignment horizontal="center" vertical="center" wrapText="1"/>
    </xf>
    <xf numFmtId="0" fontId="27" fillId="20" borderId="1" xfId="0" applyFont="1" applyFill="1" applyBorder="1" applyAlignment="1">
      <alignment horizontal="center" vertical="center" wrapText="1"/>
    </xf>
    <xf numFmtId="0" fontId="4" fillId="20" borderId="1" xfId="0" applyFont="1" applyFill="1" applyBorder="1" applyAlignment="1">
      <alignment horizontal="center" vertical="center" wrapText="1"/>
    </xf>
    <xf numFmtId="0" fontId="4" fillId="21"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49" fontId="4" fillId="1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49" fontId="4" fillId="16" borderId="1" xfId="0" applyNumberFormat="1" applyFont="1" applyFill="1" applyBorder="1" applyAlignment="1">
      <alignment horizontal="center" vertical="center" wrapText="1"/>
    </xf>
    <xf numFmtId="49" fontId="4" fillId="18" borderId="1" xfId="0" applyNumberFormat="1" applyFont="1" applyFill="1" applyBorder="1" applyAlignment="1">
      <alignment horizontal="center" vertical="center" wrapText="1"/>
    </xf>
    <xf numFmtId="0" fontId="0" fillId="11" borderId="1" xfId="0" applyFill="1" applyBorder="1" applyAlignment="1">
      <alignment horizontal="center" vertical="center"/>
    </xf>
    <xf numFmtId="0" fontId="29" fillId="18" borderId="0" xfId="0" applyFont="1" applyFill="1" applyBorder="1" applyAlignment="1">
      <alignment horizontal="center" vertical="center"/>
    </xf>
    <xf numFmtId="0" fontId="23" fillId="18" borderId="11" xfId="0" applyFont="1" applyFill="1" applyBorder="1" applyAlignment="1">
      <alignment horizontal="center" vertical="center"/>
    </xf>
    <xf numFmtId="0" fontId="2" fillId="18" borderId="1" xfId="0" applyFont="1" applyFill="1" applyBorder="1" applyAlignment="1">
      <alignment horizontal="center"/>
    </xf>
    <xf numFmtId="0" fontId="22" fillId="5" borderId="9" xfId="0" applyFont="1" applyFill="1" applyBorder="1" applyAlignment="1">
      <alignment horizontal="center" vertical="center" wrapText="1"/>
    </xf>
    <xf numFmtId="0" fontId="4" fillId="0" borderId="1" xfId="0" applyFont="1" applyBorder="1" applyAlignment="1">
      <alignment horizontal="left" vertical="center" wrapText="1"/>
    </xf>
    <xf numFmtId="173" fontId="4" fillId="0" borderId="1" xfId="2" applyNumberFormat="1" applyFont="1" applyBorder="1" applyAlignment="1">
      <alignment horizontal="center" vertical="center" wrapText="1"/>
    </xf>
    <xf numFmtId="173" fontId="4" fillId="0" borderId="1" xfId="2" applyNumberFormat="1" applyFont="1" applyBorder="1" applyAlignment="1">
      <alignment horizontal="center" vertical="center"/>
    </xf>
    <xf numFmtId="173" fontId="4" fillId="0" borderId="1" xfId="0" applyNumberFormat="1" applyFont="1" applyBorder="1" applyAlignment="1">
      <alignment horizontal="center" vertical="center"/>
    </xf>
    <xf numFmtId="173" fontId="4" fillId="0" borderId="4" xfId="2" applyNumberFormat="1" applyFont="1" applyBorder="1" applyAlignment="1">
      <alignment horizontal="center" vertical="center"/>
    </xf>
    <xf numFmtId="173" fontId="4" fillId="14" borderId="1" xfId="2" applyNumberFormat="1" applyFont="1" applyFill="1" applyBorder="1" applyAlignment="1">
      <alignment horizontal="center" vertical="center" wrapText="1"/>
    </xf>
    <xf numFmtId="165" fontId="5" fillId="0" borderId="0" xfId="2" applyFont="1" applyFill="1"/>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165" fontId="5" fillId="0" borderId="4" xfId="0" applyNumberFormat="1" applyFont="1" applyFill="1" applyBorder="1" applyAlignment="1">
      <alignment horizontal="center" vertical="center"/>
    </xf>
    <xf numFmtId="0" fontId="5" fillId="0" borderId="4" xfId="0" applyFont="1" applyFill="1" applyBorder="1" applyAlignment="1">
      <alignment horizontal="center" vertical="center"/>
    </xf>
    <xf numFmtId="168" fontId="5" fillId="0" borderId="4" xfId="0" applyNumberFormat="1" applyFont="1" applyFill="1" applyBorder="1" applyAlignment="1">
      <alignment horizontal="center" vertical="center"/>
    </xf>
    <xf numFmtId="0" fontId="5" fillId="22" borderId="1" xfId="0" applyFont="1" applyFill="1" applyBorder="1" applyAlignment="1">
      <alignment horizontal="left" vertical="center" wrapText="1"/>
    </xf>
    <xf numFmtId="0" fontId="5" fillId="22" borderId="1" xfId="0" applyFont="1" applyFill="1" applyBorder="1" applyAlignment="1">
      <alignment horizontal="center" vertical="center" wrapText="1"/>
    </xf>
    <xf numFmtId="165" fontId="5" fillId="22" borderId="1" xfId="2" applyFont="1" applyFill="1" applyBorder="1" applyAlignment="1">
      <alignment horizontal="center" vertical="center"/>
    </xf>
    <xf numFmtId="0" fontId="5" fillId="22" borderId="1" xfId="0" applyFont="1" applyFill="1" applyBorder="1" applyAlignment="1">
      <alignment horizontal="center" vertical="center"/>
    </xf>
    <xf numFmtId="168" fontId="5" fillId="22" borderId="1" xfId="0" applyNumberFormat="1" applyFont="1" applyFill="1" applyBorder="1" applyAlignment="1">
      <alignment horizontal="center" vertical="center"/>
    </xf>
    <xf numFmtId="0" fontId="5" fillId="23" borderId="1" xfId="0" applyFont="1" applyFill="1" applyBorder="1" applyAlignment="1">
      <alignment horizontal="left" vertical="center" wrapText="1"/>
    </xf>
    <xf numFmtId="0" fontId="5" fillId="23" borderId="1" xfId="0" applyFont="1" applyFill="1" applyBorder="1" applyAlignment="1">
      <alignment horizontal="center" vertical="center" wrapText="1"/>
    </xf>
    <xf numFmtId="165" fontId="5" fillId="23" borderId="1" xfId="2" applyFont="1" applyFill="1" applyBorder="1" applyAlignment="1">
      <alignment horizontal="center" vertical="center"/>
    </xf>
    <xf numFmtId="0" fontId="5" fillId="23" borderId="1" xfId="0" applyFont="1" applyFill="1" applyBorder="1" applyAlignment="1">
      <alignment horizontal="center" vertical="center"/>
    </xf>
    <xf numFmtId="168" fontId="5" fillId="23" borderId="1" xfId="0" applyNumberFormat="1" applyFont="1" applyFill="1" applyBorder="1" applyAlignment="1">
      <alignment horizontal="center" vertical="center"/>
    </xf>
    <xf numFmtId="173" fontId="4" fillId="0" borderId="1" xfId="2" applyNumberFormat="1" applyFont="1" applyFill="1" applyBorder="1" applyAlignment="1">
      <alignment horizontal="center" vertical="center" wrapText="1"/>
    </xf>
    <xf numFmtId="0" fontId="31" fillId="13" borderId="9" xfId="0" applyFont="1" applyFill="1" applyBorder="1" applyAlignment="1">
      <alignment horizontal="center" vertical="center"/>
    </xf>
    <xf numFmtId="0" fontId="31" fillId="13" borderId="15" xfId="0" applyFont="1" applyFill="1" applyBorder="1" applyAlignment="1">
      <alignment horizontal="center" vertical="center"/>
    </xf>
    <xf numFmtId="0" fontId="2" fillId="0" borderId="15" xfId="0" applyFont="1" applyBorder="1" applyAlignment="1">
      <alignment horizontal="center" vertical="center" wrapText="1"/>
    </xf>
    <xf numFmtId="0" fontId="22" fillId="0" borderId="0" xfId="0" applyFont="1" applyAlignment="1">
      <alignment horizontal="center" vertical="center" wrapText="1"/>
    </xf>
  </cellXfs>
  <cellStyles count="15">
    <cellStyle name="BodyStyle" xfId="10" xr:uid="{00000000-0005-0000-0000-000000000000}"/>
    <cellStyle name="Énfasis1" xfId="3" builtinId="29"/>
    <cellStyle name="HeaderStyle" xfId="5" xr:uid="{00000000-0005-0000-0000-000002000000}"/>
    <cellStyle name="Hipervínculo" xfId="4" builtinId="8"/>
    <cellStyle name="Millares [0]" xfId="1" builtinId="6"/>
    <cellStyle name="Millares [0] 4" xfId="6" xr:uid="{00000000-0005-0000-0000-000005000000}"/>
    <cellStyle name="Millares 3" xfId="13" xr:uid="{00000000-0005-0000-0000-000006000000}"/>
    <cellStyle name="Moneda" xfId="2" builtinId="4"/>
    <cellStyle name="Moneda 2" xfId="7" xr:uid="{00000000-0005-0000-0000-000008000000}"/>
    <cellStyle name="Normal" xfId="0" builtinId="0"/>
    <cellStyle name="Normal 2 2" xfId="11" xr:uid="{00000000-0005-0000-0000-00000A000000}"/>
    <cellStyle name="Normal 2 2 2 2 2" xfId="8" xr:uid="{00000000-0005-0000-0000-00000B000000}"/>
    <cellStyle name="Normal 3" xfId="9" xr:uid="{00000000-0005-0000-0000-00000C000000}"/>
    <cellStyle name="Normal 3 3" xfId="12" xr:uid="{00000000-0005-0000-0000-00000D000000}"/>
    <cellStyle name="Normal 7" xfId="14" xr:uid="{00000000-0005-0000-0000-00000E000000}"/>
  </cellStyles>
  <dxfs count="59">
    <dxf>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rgb="FF000000"/>
        <name val="Arial"/>
        <scheme val="none"/>
      </font>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5" formatCode="_(&quot;$&quot;\ * #,##0.00_);_(&quot;$&quot;\ * \(#,##0.00\);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numFmt numFmtId="165" formatCode="_(&quot;$&quot;\ * #,##0.00_);_(&quot;$&quot;\ * \(#,##0.00\);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numFmt numFmtId="165" formatCode="_(&quot;$&quot;\ * #,##0.00_);_(&quot;$&quot;\ * \(#,##0.00\);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numFmt numFmtId="168" formatCode="&quot;$&quot;\ #,##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numFmt numFmtId="168" formatCode="&quot;$&quot;\ #,##0"/>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numFmt numFmtId="165" formatCode="_(&quot;$&quot;\ * #,##0.00_);_(&quot;$&quot;\ * \(#,##0.00\);_(&quot;$&quot;\ * &quot;-&quot;??_);_(@_)"/>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strike val="0"/>
        <outline val="0"/>
        <shadow val="0"/>
        <u val="none"/>
        <vertAlign val="baseline"/>
        <sz val="12"/>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border outline="0">
        <right style="thin">
          <color auto="1"/>
        </right>
        <bottom style="thin">
          <color auto="1"/>
        </bottom>
      </border>
    </dxf>
    <dxf>
      <font>
        <strike val="0"/>
        <outline val="0"/>
        <shadow val="0"/>
        <u val="none"/>
        <vertAlign val="baseline"/>
        <sz val="12"/>
        <name val="Arial"/>
        <scheme val="none"/>
      </font>
    </dxf>
    <dxf>
      <font>
        <b/>
        <i val="0"/>
        <strike val="0"/>
        <condense val="0"/>
        <extend val="0"/>
        <outline val="0"/>
        <shadow val="0"/>
        <u val="none"/>
        <vertAlign val="baseline"/>
        <sz val="12"/>
        <color auto="1"/>
        <name val="Arial"/>
        <scheme val="none"/>
      </font>
      <fill>
        <patternFill patternType="solid">
          <fgColor indexed="64"/>
          <bgColor theme="8" tint="0.59999389629810485"/>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190500</xdr:rowOff>
    </xdr:from>
    <xdr:to>
      <xdr:col>0</xdr:col>
      <xdr:colOff>2114550</xdr:colOff>
      <xdr:row>0</xdr:row>
      <xdr:rowOff>1050925</xdr:rowOff>
    </xdr:to>
    <xdr:pic>
      <xdr:nvPicPr>
        <xdr:cNvPr id="2" name="Imagen 1" descr="logo de inci.">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90500"/>
          <a:ext cx="1447800" cy="8604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MARTHA/PLANEACION%202021/FINALES/PLAN%20DE%20ADQUISICIONES%20PROYECTO%20MEJORA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PLANEACION%202021/Formatos%20planeaci&#243;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ADQUISICIONES FUNCIONAMIENTO"/>
      <sheetName val="PAA y adquisiciones Inversión"/>
      <sheetName val="Reservas presupuestales"/>
      <sheetName val="COMISIONES"/>
      <sheetName val="EVENTOS"/>
      <sheetName val="Metas cuatrenio"/>
      <sheetName val="Valor Viaticos"/>
      <sheetName val="CÓDIGOS UNSPSC"/>
      <sheetName val="Listas"/>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ow r="1">
          <cell r="A1" t="str">
            <v>Brindar asistencia técnica en educación a las entidades territoriales certificadas para  el mejoramiento de los procesos de atención de las personas con discapacidad visual</v>
          </cell>
          <cell r="B1" t="str">
            <v>MC-01</v>
          </cell>
          <cell r="C1" t="str">
            <v>PROYECTO MEJORAMIENTO DE LAS CONDICIONES PARA LA GARANTÍA DE LOS DERECHOS DE LAS PERSONAS CON DISCAPACIDAD VISUAL EN EL PAÍS</v>
          </cell>
          <cell r="D1" t="str">
            <v>Contratación directa</v>
          </cell>
          <cell r="F1" t="str">
            <v>CONTRATO PRESTACIÓN SERVICIOS (Técnico)</v>
          </cell>
          <cell r="K1" t="str">
            <v>Direccionamiento Estratégico</v>
          </cell>
          <cell r="M1" t="str">
            <v>Direccionamiento Estratégico</v>
          </cell>
        </row>
        <row r="2">
          <cell r="A2" t="str">
            <v>Dotar instituciones que atiendan personas con discapacidad visual con libros y textos en braille y material en relieve y macrotipo</v>
          </cell>
          <cell r="B2" t="str">
            <v>MC-02</v>
          </cell>
          <cell r="C2" t="str">
            <v>PROYECTO FORTALECIMIENTO DE PROCESOS Y RECURSOS DEL INCI PARA CONTRIBUIR CON EL MEJORAMIENTO DE SERVICIOS A LAS PERSONAS CON DISCAPACIDAD VISUAL</v>
          </cell>
          <cell r="D2" t="str">
            <v>Minima Cuantía</v>
          </cell>
          <cell r="F2" t="str">
            <v>CONTRATO  PRESTACIÓN SERVICIOS PROFESIONALES</v>
          </cell>
          <cell r="K2" t="str">
            <v xml:space="preserve"> Comunicaciones</v>
          </cell>
          <cell r="M2" t="str">
            <v xml:space="preserve"> Comunicaciones</v>
          </cell>
        </row>
        <row r="3">
          <cell r="A3" t="str">
            <v>Brindar asesoría a entidades públicas y privadas que generen condiciones de accesibilidad al espacio físico, a la información y al uso de tecnología especializada para las personas con discapacidad visual</v>
          </cell>
          <cell r="B3" t="str">
            <v>MC-03</v>
          </cell>
          <cell r="D3" t="str">
            <v>Menor Cuantía</v>
          </cell>
          <cell r="F3" t="str">
            <v>TIQUETE TERRESTRE</v>
          </cell>
          <cell r="K3" t="str">
            <v xml:space="preserve">Asistencia Técnica
</v>
          </cell>
          <cell r="M3" t="str">
            <v>Grupo Accesibilidad</v>
          </cell>
        </row>
        <row r="4">
          <cell r="A4" t="str">
            <v>Asesorar a las instancias competentes para promover la empleabilidad de las personas con discapacidad visual</v>
          </cell>
          <cell r="B4" t="str">
            <v>FP-01</v>
          </cell>
          <cell r="D4" t="str">
            <v>No es contrato</v>
          </cell>
          <cell r="F4" t="str">
            <v>TIQUETE AÉREO</v>
          </cell>
          <cell r="K4" t="str">
            <v xml:space="preserve">Centro Cultural
</v>
          </cell>
          <cell r="M4" t="str">
            <v xml:space="preserve"> Grupo Gestión Interinstitucional</v>
          </cell>
        </row>
        <row r="5">
          <cell r="A5" t="str">
            <v>Gestionar documentos de propuestas normativas para hacer efectivos los derechos de las personas con discapacidad visual</v>
          </cell>
          <cell r="B5" t="str">
            <v>FP-02</v>
          </cell>
          <cell r="F5" t="str">
            <v>VIÁTICOS</v>
          </cell>
          <cell r="K5" t="str">
            <v xml:space="preserve">Unidades Productivas
</v>
          </cell>
          <cell r="M5" t="str">
            <v xml:space="preserve">Grupo Educación
</v>
          </cell>
        </row>
        <row r="6">
          <cell r="A6" t="str">
            <v>Desarrollar ejercicios de investigación para mejorar las condiciones de inclusión de las personas con discapacidad visual</v>
          </cell>
          <cell r="B6" t="str">
            <v>FP-03</v>
          </cell>
          <cell r="F6" t="str">
            <v>SERVICIO</v>
          </cell>
          <cell r="K6" t="str">
            <v>Producción radial y audiovisual</v>
          </cell>
          <cell r="M6" t="str">
            <v xml:space="preserve">Centro Cultural
</v>
          </cell>
        </row>
        <row r="7">
          <cell r="A7" t="str">
            <v>Promover y asesorar a organizaciones sociales, familia y  otros colectivos de personas con discapacidad visual, para  la participación y el ejercicio de sus derechos</v>
          </cell>
          <cell r="B7" t="str">
            <v>FP-04</v>
          </cell>
          <cell r="F7" t="str">
            <v>SUMINISTRO</v>
          </cell>
          <cell r="K7" t="str">
            <v xml:space="preserve">Informática y Tecnología
</v>
          </cell>
          <cell r="M7" t="str">
            <v xml:space="preserve">Unidades Productivas
</v>
          </cell>
        </row>
        <row r="8">
          <cell r="A8" t="str">
            <v>Desarrollar talleres especializados en temas relacionados con la discapacidad visual</v>
          </cell>
          <cell r="B8" t="str">
            <v>FP-05</v>
          </cell>
          <cell r="K8" t="str">
            <v xml:space="preserve">Gestión documental
</v>
          </cell>
          <cell r="M8" t="str">
            <v>Producción radial y audiovisual</v>
          </cell>
        </row>
        <row r="9">
          <cell r="A9" t="str">
            <v>Producir y publicar en formatos accesibles documentos para personas con discapacidad visual</v>
          </cell>
          <cell r="B9" t="str">
            <v>GG001</v>
          </cell>
          <cell r="K9" t="str">
            <v xml:space="preserve">Gestión Contractual
</v>
          </cell>
          <cell r="M9" t="str">
            <v xml:space="preserve">Informática y Tecnología
</v>
          </cell>
        </row>
        <row r="10">
          <cell r="A10" t="str">
            <v>Realizar exposiciones para personas con discapacidad visual y público en general en la sala multisensorial</v>
          </cell>
          <cell r="B10" t="str">
            <v>GG002</v>
          </cell>
          <cell r="K10" t="str">
            <v xml:space="preserve">Gestión Jurídica
</v>
          </cell>
          <cell r="M10" t="str">
            <v xml:space="preserve">Gestión documental
</v>
          </cell>
        </row>
        <row r="11">
          <cell r="A11" t="str">
            <v>Desarrollar campañas de comunicación relacionadas con la temática de discapacidad visual y el quehacer institucional</v>
          </cell>
          <cell r="B11" t="str">
            <v>GG003</v>
          </cell>
          <cell r="K11" t="str">
            <v xml:space="preserve">Servicio al ciudadano
</v>
          </cell>
          <cell r="M11" t="str">
            <v xml:space="preserve">Gestión Contractual
</v>
          </cell>
        </row>
        <row r="12">
          <cell r="A12" t="str">
            <v>Producir y adaptar material audiovisual para promover la inclusión de las personas con discapacidad visual</v>
          </cell>
          <cell r="B12" t="str">
            <v>GG004</v>
          </cell>
          <cell r="K12" t="str">
            <v>Gestión Humana</v>
          </cell>
          <cell r="M12" t="str">
            <v xml:space="preserve">Gestión Jurídica
</v>
          </cell>
        </row>
        <row r="13">
          <cell r="A13" t="str">
            <v>Producir y emitir contenidos radiales para promover la inclusión de las personas con discapacidad visual</v>
          </cell>
          <cell r="B13" t="str">
            <v>GG005</v>
          </cell>
          <cell r="K13" t="str">
            <v xml:space="preserve">Evaluación y Mejoramiento
</v>
          </cell>
          <cell r="M13" t="str">
            <v xml:space="preserve">Servicio al ciudadano
</v>
          </cell>
        </row>
        <row r="14">
          <cell r="A14" t="str">
            <v>Disponer de material, productos y ayudas para la adquisición por parte de las  personas con discapacidad visual</v>
          </cell>
          <cell r="B14" t="str">
            <v>GG006</v>
          </cell>
          <cell r="K14" t="str">
            <v xml:space="preserve">Financiero
</v>
          </cell>
          <cell r="M14" t="str">
            <v>Gestión Humana</v>
          </cell>
        </row>
        <row r="15">
          <cell r="A15" t="str">
            <v>Transcribir e imprimir libros, textos y material para las personas con discapacidad visual</v>
          </cell>
          <cell r="B15" t="str">
            <v>GG007</v>
          </cell>
          <cell r="K15" t="str">
            <v>Administrativo</v>
          </cell>
          <cell r="M15" t="str">
            <v xml:space="preserve">Evaluación y Mejoramiento
</v>
          </cell>
        </row>
        <row r="16">
          <cell r="B16" t="str">
            <v>GG008</v>
          </cell>
          <cell r="M16" t="str">
            <v xml:space="preserve">Financiero
</v>
          </cell>
        </row>
        <row r="17">
          <cell r="B17" t="str">
            <v>GG009</v>
          </cell>
          <cell r="M17" t="str">
            <v>Administrativo</v>
          </cell>
        </row>
        <row r="18">
          <cell r="B18" t="str">
            <v>GG010</v>
          </cell>
        </row>
        <row r="19">
          <cell r="B19" t="str">
            <v>TR01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agregación"/>
      <sheetName val=" DESAGREGACIÓN FUNCIONAMIEN (2"/>
      <sheetName val="PADQ FUNCIONAMIENTO (2)"/>
      <sheetName val="PAA Y ADQ INVERSIÓN"/>
      <sheetName val="Hoja1"/>
      <sheetName val="Metas"/>
      <sheetName val="COMISIONES"/>
      <sheetName val="MUEBLES"/>
      <sheetName val=" $ DISPONIBLE"/>
      <sheetName val="Código UNSPSC"/>
      <sheetName val="lista"/>
      <sheetName val="Nom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1:J104" totalsRowCount="1" headerRowDxfId="32" dataDxfId="31" tableBorderDxfId="30" headerRowCellStyle="Moneda">
  <autoFilter ref="A1:J103" xr:uid="{00000000-0009-0000-0100-000001000000}"/>
  <tableColumns count="10">
    <tableColumn id="1" xr3:uid="{00000000-0010-0000-0000-000001000000}" name="Meta" dataDxfId="29" totalsRowDxfId="28"/>
    <tableColumn id="2" xr3:uid="{00000000-0010-0000-0000-000002000000}" name="Departamento" dataDxfId="27" totalsRowDxfId="26"/>
    <tableColumn id="3" xr3:uid="{00000000-0010-0000-0000-000003000000}" name="Municipio" dataDxfId="25" totalsRowDxfId="24"/>
    <tableColumn id="4" xr3:uid="{00000000-0010-0000-0000-000004000000}" name="Nombre Servidor público" dataDxfId="23" totalsRowDxfId="22"/>
    <tableColumn id="5" xr3:uid="{00000000-0010-0000-0000-000005000000}" name="Viáticos" dataDxfId="21" totalsRowDxfId="20" dataCellStyle="Moneda"/>
    <tableColumn id="6" xr3:uid="{00000000-0010-0000-0000-000006000000}" name="# días" dataDxfId="19" totalsRowDxfId="18"/>
    <tableColumn id="7" xr3:uid="{00000000-0010-0000-0000-000007000000}" name="SUBTOTAL Viaticos" totalsRowFunction="sum" dataDxfId="17" totalsRowDxfId="16">
      <calculatedColumnFormula>+Tabla2[[#This Row],[Viáticos]]*Tabla2[[#This Row],['# días]]</calculatedColumnFormula>
    </tableColumn>
    <tableColumn id="8" xr3:uid="{00000000-0010-0000-0000-000008000000}" name="Tiquete Aereo" dataDxfId="15" totalsRowDxfId="14" dataCellStyle="Moneda"/>
    <tableColumn id="9" xr3:uid="{00000000-0010-0000-0000-000009000000}" name="Tiquete Terrestre" dataDxfId="13" totalsRowDxfId="12" dataCellStyle="Moneda"/>
    <tableColumn id="10" xr3:uid="{00000000-0010-0000-0000-00000A000000}" name="Columna1" dataDxfId="11" totalsRowDxfId="10" dataCellStyle="Moned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6" displayName="Tabla6" ref="J2:O11" totalsRowShown="0" headerRowDxfId="9" headerRowBorderDxfId="8" tableBorderDxfId="7" totalsRowBorderDxfId="6">
  <autoFilter ref="J2:O11" xr:uid="{00000000-0009-0000-0100-000003000000}"/>
  <tableColumns count="6">
    <tableColumn id="1" xr3:uid="{00000000-0010-0000-0100-000001000000}" name="METAS" dataDxfId="5"/>
    <tableColumn id="2" xr3:uid="{00000000-0010-0000-0100-000002000000}" name="2019" dataDxfId="4"/>
    <tableColumn id="3" xr3:uid="{00000000-0010-0000-0100-000003000000}" name="2020" dataDxfId="3"/>
    <tableColumn id="4" xr3:uid="{00000000-0010-0000-0100-000004000000}" name="2021" dataDxfId="2"/>
    <tableColumn id="5" xr3:uid="{00000000-0010-0000-0100-000005000000}" name="2022" dataDxfId="1"/>
    <tableColumn id="6" xr3:uid="{00000000-0010-0000-0100-000006000000}" name="TOTAL CUATRENIO "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juridica@inci.gov.co" TargetMode="External"/><Relationship Id="rId18" Type="http://schemas.openxmlformats.org/officeDocument/2006/relationships/hyperlink" Target="mailto:planeacion@inci.gov.co" TargetMode="External"/><Relationship Id="rId26" Type="http://schemas.openxmlformats.org/officeDocument/2006/relationships/hyperlink" Target="mailto:planeacion@inci.gov.co" TargetMode="External"/><Relationship Id="rId39" Type="http://schemas.openxmlformats.org/officeDocument/2006/relationships/hyperlink" Target="mailto:planeacion@inci.gov.co" TargetMode="External"/><Relationship Id="rId21" Type="http://schemas.openxmlformats.org/officeDocument/2006/relationships/hyperlink" Target="mailto:planeacion@inci.gov.co" TargetMode="External"/><Relationship Id="rId34" Type="http://schemas.openxmlformats.org/officeDocument/2006/relationships/hyperlink" Target="mailto:planeacion@inci.gov.co" TargetMode="External"/><Relationship Id="rId42" Type="http://schemas.openxmlformats.org/officeDocument/2006/relationships/hyperlink" Target="mailto:subdireccion@inci.gov.co" TargetMode="External"/><Relationship Id="rId47" Type="http://schemas.openxmlformats.org/officeDocument/2006/relationships/hyperlink" Target="mailto:planeacion@inci.gov.co" TargetMode="External"/><Relationship Id="rId50" Type="http://schemas.openxmlformats.org/officeDocument/2006/relationships/hyperlink" Target="mailto:subdireccion@inci.gov.co" TargetMode="External"/><Relationship Id="rId7" Type="http://schemas.openxmlformats.org/officeDocument/2006/relationships/hyperlink" Target="mailto:secretariageneral@inci.gov.co" TargetMode="External"/><Relationship Id="rId2" Type="http://schemas.openxmlformats.org/officeDocument/2006/relationships/hyperlink" Target="mailto:subdireccion@inci.gov.co" TargetMode="External"/><Relationship Id="rId16" Type="http://schemas.openxmlformats.org/officeDocument/2006/relationships/hyperlink" Target="mailto:planeacion@inci.gov.co" TargetMode="External"/><Relationship Id="rId29" Type="http://schemas.openxmlformats.org/officeDocument/2006/relationships/hyperlink" Target="mailto:planeacion@inci.gov.co" TargetMode="External"/><Relationship Id="rId11" Type="http://schemas.openxmlformats.org/officeDocument/2006/relationships/hyperlink" Target="mailto:secretariageneral@inci.gov.co" TargetMode="External"/><Relationship Id="rId24" Type="http://schemas.openxmlformats.org/officeDocument/2006/relationships/hyperlink" Target="mailto:planeacion@inci.gov.co" TargetMode="External"/><Relationship Id="rId32" Type="http://schemas.openxmlformats.org/officeDocument/2006/relationships/hyperlink" Target="mailto:juridica@inci.gov.co" TargetMode="External"/><Relationship Id="rId37" Type="http://schemas.openxmlformats.org/officeDocument/2006/relationships/hyperlink" Target="mailto:secretariageneral@inci.gov.co" TargetMode="External"/><Relationship Id="rId40" Type="http://schemas.openxmlformats.org/officeDocument/2006/relationships/hyperlink" Target="mailto:secretariageneral@inci.gov.co" TargetMode="External"/><Relationship Id="rId45" Type="http://schemas.openxmlformats.org/officeDocument/2006/relationships/hyperlink" Target="mailto:planeacion@inci.gov.co" TargetMode="External"/><Relationship Id="rId53" Type="http://schemas.openxmlformats.org/officeDocument/2006/relationships/printerSettings" Target="../printerSettings/printerSettings1.bin"/><Relationship Id="rId5" Type="http://schemas.openxmlformats.org/officeDocument/2006/relationships/hyperlink" Target="mailto:secretariageneral@inci.gov.co" TargetMode="External"/><Relationship Id="rId10" Type="http://schemas.openxmlformats.org/officeDocument/2006/relationships/hyperlink" Target="mailto:secretariageneral@inci.gov.co" TargetMode="External"/><Relationship Id="rId19" Type="http://schemas.openxmlformats.org/officeDocument/2006/relationships/hyperlink" Target="mailto:planeacion@inci.gov.co" TargetMode="External"/><Relationship Id="rId31" Type="http://schemas.openxmlformats.org/officeDocument/2006/relationships/hyperlink" Target="mailto:planeacion@inci.gov.co" TargetMode="External"/><Relationship Id="rId44" Type="http://schemas.openxmlformats.org/officeDocument/2006/relationships/hyperlink" Target="mailto:subdireccion@inci.gov.co" TargetMode="External"/><Relationship Id="rId52" Type="http://schemas.openxmlformats.org/officeDocument/2006/relationships/hyperlink" Target="mailto:subdireccion@inci.gov.co" TargetMode="External"/><Relationship Id="rId4" Type="http://schemas.openxmlformats.org/officeDocument/2006/relationships/hyperlink" Target="mailto:subdireccion@inci.gov.co" TargetMode="External"/><Relationship Id="rId9" Type="http://schemas.openxmlformats.org/officeDocument/2006/relationships/hyperlink" Target="mailto:secretariageneral@inci.gov.co" TargetMode="External"/><Relationship Id="rId14" Type="http://schemas.openxmlformats.org/officeDocument/2006/relationships/hyperlink" Target="mailto:planeacion@inci.gov.co" TargetMode="External"/><Relationship Id="rId22" Type="http://schemas.openxmlformats.org/officeDocument/2006/relationships/hyperlink" Target="mailto:planeacion@inci.gov.co" TargetMode="External"/><Relationship Id="rId27" Type="http://schemas.openxmlformats.org/officeDocument/2006/relationships/hyperlink" Target="mailto:planeacion@inci.gov.co" TargetMode="External"/><Relationship Id="rId30" Type="http://schemas.openxmlformats.org/officeDocument/2006/relationships/hyperlink" Target="mailto:planeacion@inci.gov.co" TargetMode="External"/><Relationship Id="rId35" Type="http://schemas.openxmlformats.org/officeDocument/2006/relationships/hyperlink" Target="mailto:planeacion@inci.gov.co" TargetMode="External"/><Relationship Id="rId43" Type="http://schemas.openxmlformats.org/officeDocument/2006/relationships/hyperlink" Target="mailto:subdireccion@inci.gov.co" TargetMode="External"/><Relationship Id="rId48" Type="http://schemas.openxmlformats.org/officeDocument/2006/relationships/hyperlink" Target="mailto:secretariageneral@inci.gov.co" TargetMode="External"/><Relationship Id="rId8" Type="http://schemas.openxmlformats.org/officeDocument/2006/relationships/hyperlink" Target="mailto:secretariageneral@inci.gov.co" TargetMode="External"/><Relationship Id="rId51" Type="http://schemas.openxmlformats.org/officeDocument/2006/relationships/hyperlink" Target="mailto:subdireccion@inci.gov.co" TargetMode="External"/><Relationship Id="rId3" Type="http://schemas.openxmlformats.org/officeDocument/2006/relationships/hyperlink" Target="mailto:subdireccion@inci.gov.co" TargetMode="External"/><Relationship Id="rId12" Type="http://schemas.openxmlformats.org/officeDocument/2006/relationships/hyperlink" Target="mailto:planeacion@inci.gov.co" TargetMode="External"/><Relationship Id="rId17" Type="http://schemas.openxmlformats.org/officeDocument/2006/relationships/hyperlink" Target="mailto:planeacion@inci.gov.co" TargetMode="External"/><Relationship Id="rId25" Type="http://schemas.openxmlformats.org/officeDocument/2006/relationships/hyperlink" Target="mailto:planeacion@inci.gov.co" TargetMode="External"/><Relationship Id="rId33" Type="http://schemas.openxmlformats.org/officeDocument/2006/relationships/hyperlink" Target="mailto:controlinterno@inci.gov.co" TargetMode="External"/><Relationship Id="rId38" Type="http://schemas.openxmlformats.org/officeDocument/2006/relationships/hyperlink" Target="mailto:secretariageneral@inci.gov.co" TargetMode="External"/><Relationship Id="rId46" Type="http://schemas.openxmlformats.org/officeDocument/2006/relationships/hyperlink" Target="mailto:planeacion@inci.gov.co" TargetMode="External"/><Relationship Id="rId20" Type="http://schemas.openxmlformats.org/officeDocument/2006/relationships/hyperlink" Target="mailto:planeacion@inci.gov.co" TargetMode="External"/><Relationship Id="rId41" Type="http://schemas.openxmlformats.org/officeDocument/2006/relationships/hyperlink" Target="mailto:juridica@inci.gov.co" TargetMode="External"/><Relationship Id="rId54" Type="http://schemas.openxmlformats.org/officeDocument/2006/relationships/drawing" Target="../drawings/drawing1.xml"/><Relationship Id="rId1" Type="http://schemas.openxmlformats.org/officeDocument/2006/relationships/hyperlink" Target="mailto:subdireccion@inci.gov.co" TargetMode="External"/><Relationship Id="rId6" Type="http://schemas.openxmlformats.org/officeDocument/2006/relationships/hyperlink" Target="mailto:secretariageneral@inci.gov.co" TargetMode="External"/><Relationship Id="rId15" Type="http://schemas.openxmlformats.org/officeDocument/2006/relationships/hyperlink" Target="mailto:planeacion@inci.gov.co" TargetMode="External"/><Relationship Id="rId23" Type="http://schemas.openxmlformats.org/officeDocument/2006/relationships/hyperlink" Target="mailto:planeacion@inci.gov.co" TargetMode="External"/><Relationship Id="rId28" Type="http://schemas.openxmlformats.org/officeDocument/2006/relationships/hyperlink" Target="mailto:planeacion@inci.gov.co" TargetMode="External"/><Relationship Id="rId36" Type="http://schemas.openxmlformats.org/officeDocument/2006/relationships/hyperlink" Target="mailto:planeacion@inci.gov.co" TargetMode="External"/><Relationship Id="rId49" Type="http://schemas.openxmlformats.org/officeDocument/2006/relationships/hyperlink" Target="mailto:planeacion@inci.gov.co"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M164"/>
  <sheetViews>
    <sheetView tabSelected="1" topLeftCell="M1" zoomScale="60" zoomScaleNormal="60" workbookViewId="0">
      <selection activeCell="W5" sqref="W5"/>
    </sheetView>
  </sheetViews>
  <sheetFormatPr baseColWidth="10" defaultColWidth="11.44140625" defaultRowHeight="39.9" customHeight="1" x14ac:dyDescent="0.3"/>
  <cols>
    <col min="1" max="1" width="37.44140625" style="5" customWidth="1"/>
    <col min="2" max="2" width="37.33203125" style="5" customWidth="1"/>
    <col min="3" max="3" width="16" style="5" customWidth="1"/>
    <col min="4" max="4" width="33.33203125" style="5" hidden="1" customWidth="1"/>
    <col min="5" max="5" width="20.6640625" style="5" hidden="1" customWidth="1"/>
    <col min="6" max="6" width="20.33203125" style="5" hidden="1" customWidth="1"/>
    <col min="7" max="7" width="51.44140625" style="5" hidden="1" customWidth="1"/>
    <col min="8" max="8" width="18.44140625" style="5" hidden="1" customWidth="1"/>
    <col min="9" max="9" width="17.33203125" style="5" hidden="1" customWidth="1"/>
    <col min="10" max="10" width="16" style="5" hidden="1" customWidth="1"/>
    <col min="11" max="11" width="18.33203125" style="5" hidden="1" customWidth="1"/>
    <col min="12" max="12" width="18.44140625" style="5" hidden="1" customWidth="1"/>
    <col min="13" max="13" width="24" style="5" customWidth="1"/>
    <col min="14" max="14" width="25" style="5" customWidth="1"/>
    <col min="15" max="15" width="16" style="5" customWidth="1"/>
    <col min="16" max="16" width="21" style="5" customWidth="1"/>
    <col min="17" max="17" width="17.5546875" style="5" customWidth="1"/>
    <col min="18" max="18" width="16" style="5" customWidth="1"/>
    <col min="19" max="19" width="19.44140625" style="118" customWidth="1"/>
    <col min="20" max="20" width="20.6640625" style="118" customWidth="1"/>
    <col min="21" max="21" width="34" style="5" customWidth="1"/>
    <col min="22" max="22" width="23.33203125" style="5" customWidth="1"/>
    <col min="23" max="23" width="46.44140625" style="5" customWidth="1"/>
    <col min="24" max="24" width="18.5546875" style="5" customWidth="1"/>
    <col min="25" max="27" width="16" style="5" customWidth="1"/>
    <col min="28" max="28" width="21.88671875" style="6" customWidth="1"/>
    <col min="29" max="29" width="18.44140625" style="5" customWidth="1"/>
    <col min="30" max="35" width="16" style="5" customWidth="1"/>
    <col min="36" max="36" width="20.5546875" style="5" customWidth="1"/>
    <col min="37" max="37" width="16" style="5" customWidth="1"/>
    <col min="38" max="38" width="20" style="5" customWidth="1"/>
    <col min="39" max="39" width="36.5546875" style="5" customWidth="1"/>
    <col min="40" max="16384" width="11.44140625" style="5"/>
  </cols>
  <sheetData>
    <row r="1" spans="1:39" ht="87" customHeight="1" x14ac:dyDescent="0.3">
      <c r="A1" s="206" t="s">
        <v>477</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row>
    <row r="2" spans="1:39" s="12" customFormat="1" ht="104.25" customHeight="1" x14ac:dyDescent="0.3">
      <c r="A2" s="14" t="s">
        <v>0</v>
      </c>
      <c r="B2" s="14" t="s">
        <v>1</v>
      </c>
      <c r="C2" s="14" t="s">
        <v>2</v>
      </c>
      <c r="D2" s="14" t="s">
        <v>3</v>
      </c>
      <c r="E2" s="14" t="s">
        <v>4</v>
      </c>
      <c r="F2" s="13" t="s">
        <v>5</v>
      </c>
      <c r="G2" s="13" t="s">
        <v>6</v>
      </c>
      <c r="H2" s="15" t="s">
        <v>7</v>
      </c>
      <c r="I2" s="15" t="s">
        <v>8</v>
      </c>
      <c r="J2" s="15" t="s">
        <v>9</v>
      </c>
      <c r="K2" s="15" t="s">
        <v>10</v>
      </c>
      <c r="L2" s="13" t="s">
        <v>11</v>
      </c>
      <c r="M2" s="13" t="s">
        <v>12</v>
      </c>
      <c r="N2" s="85" t="s">
        <v>13</v>
      </c>
      <c r="O2" s="13" t="s">
        <v>14</v>
      </c>
      <c r="P2" s="13" t="s">
        <v>15</v>
      </c>
      <c r="Q2" s="13" t="s">
        <v>16</v>
      </c>
      <c r="R2" s="13" t="s">
        <v>17</v>
      </c>
      <c r="S2" s="119" t="s">
        <v>18</v>
      </c>
      <c r="T2" s="119" t="s">
        <v>19</v>
      </c>
      <c r="U2" s="13" t="s">
        <v>20</v>
      </c>
      <c r="V2" s="13" t="s">
        <v>21</v>
      </c>
      <c r="W2" s="13" t="s">
        <v>22</v>
      </c>
      <c r="X2" s="13" t="s">
        <v>23</v>
      </c>
      <c r="Y2" s="13" t="s">
        <v>24</v>
      </c>
      <c r="Z2" s="13" t="s">
        <v>25</v>
      </c>
      <c r="AA2" s="13" t="s">
        <v>26</v>
      </c>
      <c r="AB2" s="86" t="s">
        <v>27</v>
      </c>
      <c r="AC2" s="11" t="s">
        <v>28</v>
      </c>
      <c r="AD2" s="11" t="s">
        <v>29</v>
      </c>
      <c r="AE2" s="11" t="s">
        <v>30</v>
      </c>
      <c r="AF2" s="11" t="s">
        <v>31</v>
      </c>
      <c r="AG2" s="11" t="s">
        <v>32</v>
      </c>
      <c r="AH2" s="11" t="s">
        <v>33</v>
      </c>
      <c r="AI2" s="11" t="s">
        <v>34</v>
      </c>
      <c r="AJ2" s="11" t="s">
        <v>35</v>
      </c>
      <c r="AK2" s="11" t="s">
        <v>36</v>
      </c>
      <c r="AL2" s="11" t="s">
        <v>37</v>
      </c>
      <c r="AM2" s="11" t="s">
        <v>38</v>
      </c>
    </row>
    <row r="3" spans="1:39" ht="117" customHeight="1" x14ac:dyDescent="0.3">
      <c r="A3" s="7" t="s">
        <v>39</v>
      </c>
      <c r="B3" s="88" t="s">
        <v>40</v>
      </c>
      <c r="C3" s="169" t="s">
        <v>41</v>
      </c>
      <c r="D3" s="7" t="s">
        <v>42</v>
      </c>
      <c r="E3" s="7" t="s">
        <v>43</v>
      </c>
      <c r="F3" s="104">
        <v>80111600</v>
      </c>
      <c r="G3" s="7" t="s">
        <v>44</v>
      </c>
      <c r="H3" s="7">
        <v>2</v>
      </c>
      <c r="I3" s="7">
        <v>2</v>
      </c>
      <c r="J3" s="7">
        <v>10</v>
      </c>
      <c r="K3" s="7">
        <v>1</v>
      </c>
      <c r="L3" s="7" t="s">
        <v>45</v>
      </c>
      <c r="M3" s="7" t="s">
        <v>394</v>
      </c>
      <c r="N3" s="184">
        <f>3130298*10</f>
        <v>31302980</v>
      </c>
      <c r="O3" s="7">
        <v>0</v>
      </c>
      <c r="P3" s="7">
        <v>0</v>
      </c>
      <c r="Q3" s="7" t="s">
        <v>123</v>
      </c>
      <c r="R3" s="7" t="s">
        <v>122</v>
      </c>
      <c r="S3" s="120" t="s">
        <v>47</v>
      </c>
      <c r="T3" s="120">
        <v>3846666</v>
      </c>
      <c r="U3" s="94" t="s">
        <v>121</v>
      </c>
      <c r="V3" s="7" t="s">
        <v>120</v>
      </c>
      <c r="W3" s="7" t="s">
        <v>46</v>
      </c>
      <c r="X3" s="7" t="s">
        <v>47</v>
      </c>
      <c r="Y3" s="7"/>
      <c r="Z3" s="7"/>
      <c r="AA3" s="7"/>
      <c r="AB3" s="8">
        <f t="shared" ref="AB3:AB34" si="0">+N3+Y3+Z3-AA3</f>
        <v>31302980</v>
      </c>
      <c r="AC3" s="7"/>
      <c r="AD3" s="7"/>
      <c r="AE3" s="7"/>
      <c r="AF3" s="7"/>
      <c r="AG3" s="7"/>
      <c r="AH3" s="7"/>
      <c r="AI3" s="7"/>
      <c r="AJ3" s="7"/>
      <c r="AK3" s="7"/>
      <c r="AL3" s="7"/>
      <c r="AM3" s="7"/>
    </row>
    <row r="4" spans="1:39" ht="121.5" customHeight="1" x14ac:dyDescent="0.3">
      <c r="A4" s="7" t="s">
        <v>39</v>
      </c>
      <c r="B4" s="88" t="s">
        <v>40</v>
      </c>
      <c r="C4" s="169" t="s">
        <v>41</v>
      </c>
      <c r="D4" s="7" t="s">
        <v>42</v>
      </c>
      <c r="E4" s="7" t="s">
        <v>43</v>
      </c>
      <c r="F4" s="104">
        <v>80111600</v>
      </c>
      <c r="G4" s="7" t="s">
        <v>48</v>
      </c>
      <c r="H4" s="7">
        <v>2</v>
      </c>
      <c r="I4" s="7">
        <v>2</v>
      </c>
      <c r="J4" s="7">
        <v>10</v>
      </c>
      <c r="K4" s="7">
        <v>1</v>
      </c>
      <c r="L4" s="7" t="s">
        <v>45</v>
      </c>
      <c r="M4" s="7" t="s">
        <v>394</v>
      </c>
      <c r="N4" s="184">
        <f t="shared" ref="N4:N5" si="1">3130298*10</f>
        <v>31302980</v>
      </c>
      <c r="O4" s="7">
        <v>0</v>
      </c>
      <c r="P4" s="7">
        <v>0</v>
      </c>
      <c r="Q4" s="7" t="s">
        <v>123</v>
      </c>
      <c r="R4" s="7" t="s">
        <v>122</v>
      </c>
      <c r="S4" s="120" t="s">
        <v>47</v>
      </c>
      <c r="T4" s="120">
        <v>3846666</v>
      </c>
      <c r="U4" s="94" t="s">
        <v>121</v>
      </c>
      <c r="V4" s="7" t="s">
        <v>120</v>
      </c>
      <c r="W4" s="7" t="s">
        <v>46</v>
      </c>
      <c r="X4" s="7" t="s">
        <v>47</v>
      </c>
      <c r="Y4" s="7"/>
      <c r="Z4" s="7"/>
      <c r="AA4" s="7"/>
      <c r="AB4" s="8">
        <f t="shared" si="0"/>
        <v>31302980</v>
      </c>
      <c r="AC4" s="7"/>
      <c r="AD4" s="7"/>
      <c r="AE4" s="7"/>
      <c r="AF4" s="7"/>
      <c r="AG4" s="7"/>
      <c r="AH4" s="7"/>
      <c r="AI4" s="7"/>
      <c r="AJ4" s="7"/>
      <c r="AK4" s="7"/>
      <c r="AL4" s="7"/>
      <c r="AM4" s="7"/>
    </row>
    <row r="5" spans="1:39" ht="113.25" customHeight="1" x14ac:dyDescent="0.3">
      <c r="A5" s="7" t="s">
        <v>39</v>
      </c>
      <c r="B5" s="88" t="s">
        <v>40</v>
      </c>
      <c r="C5" s="169" t="s">
        <v>41</v>
      </c>
      <c r="D5" s="7" t="s">
        <v>42</v>
      </c>
      <c r="E5" s="7" t="s">
        <v>43</v>
      </c>
      <c r="F5" s="104">
        <v>80111600</v>
      </c>
      <c r="G5" s="7" t="s">
        <v>49</v>
      </c>
      <c r="H5" s="7">
        <v>2</v>
      </c>
      <c r="I5" s="7">
        <v>2</v>
      </c>
      <c r="J5" s="7">
        <v>10</v>
      </c>
      <c r="K5" s="7">
        <v>1</v>
      </c>
      <c r="L5" s="7" t="s">
        <v>45</v>
      </c>
      <c r="M5" s="7" t="s">
        <v>394</v>
      </c>
      <c r="N5" s="184">
        <f t="shared" si="1"/>
        <v>31302980</v>
      </c>
      <c r="O5" s="7">
        <v>0</v>
      </c>
      <c r="P5" s="7">
        <v>0</v>
      </c>
      <c r="Q5" s="7" t="s">
        <v>123</v>
      </c>
      <c r="R5" s="7" t="s">
        <v>122</v>
      </c>
      <c r="S5" s="120" t="s">
        <v>47</v>
      </c>
      <c r="T5" s="120">
        <v>3846666</v>
      </c>
      <c r="U5" s="94" t="s">
        <v>121</v>
      </c>
      <c r="V5" s="7" t="s">
        <v>120</v>
      </c>
      <c r="W5" s="7" t="s">
        <v>46</v>
      </c>
      <c r="X5" s="7" t="s">
        <v>47</v>
      </c>
      <c r="Y5" s="7"/>
      <c r="Z5" s="7"/>
      <c r="AA5" s="7"/>
      <c r="AB5" s="8">
        <f t="shared" si="0"/>
        <v>31302980</v>
      </c>
      <c r="AC5" s="7"/>
      <c r="AD5" s="7"/>
      <c r="AE5" s="7"/>
      <c r="AF5" s="7"/>
      <c r="AG5" s="7"/>
      <c r="AH5" s="7"/>
      <c r="AI5" s="7"/>
      <c r="AJ5" s="7"/>
      <c r="AK5" s="7"/>
      <c r="AL5" s="7"/>
      <c r="AM5" s="7"/>
    </row>
    <row r="6" spans="1:39" ht="113.25" customHeight="1" x14ac:dyDescent="0.3">
      <c r="A6" s="7" t="s">
        <v>39</v>
      </c>
      <c r="B6" s="88" t="s">
        <v>40</v>
      </c>
      <c r="C6" s="169" t="s">
        <v>41</v>
      </c>
      <c r="D6" s="7" t="s">
        <v>42</v>
      </c>
      <c r="E6" s="7" t="s">
        <v>43</v>
      </c>
      <c r="F6" s="7" t="s">
        <v>50</v>
      </c>
      <c r="G6" s="7" t="s">
        <v>51</v>
      </c>
      <c r="H6" s="7" t="s">
        <v>50</v>
      </c>
      <c r="I6" s="7" t="s">
        <v>50</v>
      </c>
      <c r="J6" s="7" t="s">
        <v>50</v>
      </c>
      <c r="K6" s="7" t="s">
        <v>50</v>
      </c>
      <c r="L6" s="7" t="s">
        <v>52</v>
      </c>
      <c r="M6" s="7" t="s">
        <v>394</v>
      </c>
      <c r="N6" s="184">
        <v>7455212</v>
      </c>
      <c r="O6" s="7">
        <v>0</v>
      </c>
      <c r="P6" s="7">
        <v>0</v>
      </c>
      <c r="Q6" s="7" t="s">
        <v>123</v>
      </c>
      <c r="R6" s="7" t="s">
        <v>122</v>
      </c>
      <c r="S6" s="120" t="s">
        <v>47</v>
      </c>
      <c r="T6" s="120">
        <v>3846666</v>
      </c>
      <c r="U6" s="94" t="s">
        <v>121</v>
      </c>
      <c r="V6" s="7" t="s">
        <v>120</v>
      </c>
      <c r="W6" s="7" t="s">
        <v>53</v>
      </c>
      <c r="X6" s="7" t="s">
        <v>50</v>
      </c>
      <c r="Y6" s="7"/>
      <c r="Z6" s="7"/>
      <c r="AA6" s="7"/>
      <c r="AB6" s="8">
        <f t="shared" si="0"/>
        <v>7455212</v>
      </c>
      <c r="AC6" s="7"/>
      <c r="AD6" s="7"/>
      <c r="AE6" s="7"/>
      <c r="AF6" s="7"/>
      <c r="AG6" s="7"/>
      <c r="AH6" s="7"/>
      <c r="AI6" s="7"/>
      <c r="AJ6" s="7"/>
      <c r="AK6" s="7"/>
      <c r="AL6" s="7"/>
      <c r="AM6" s="7"/>
    </row>
    <row r="7" spans="1:39" ht="113.25" customHeight="1" x14ac:dyDescent="0.3">
      <c r="A7" s="7" t="s">
        <v>39</v>
      </c>
      <c r="B7" s="88" t="s">
        <v>40</v>
      </c>
      <c r="C7" s="169" t="s">
        <v>41</v>
      </c>
      <c r="D7" s="7" t="s">
        <v>42</v>
      </c>
      <c r="E7" s="7" t="s">
        <v>43</v>
      </c>
      <c r="F7" s="7" t="s">
        <v>50</v>
      </c>
      <c r="G7" s="7" t="s">
        <v>54</v>
      </c>
      <c r="H7" s="7" t="s">
        <v>50</v>
      </c>
      <c r="I7" s="7" t="s">
        <v>50</v>
      </c>
      <c r="J7" s="7" t="s">
        <v>50</v>
      </c>
      <c r="K7" s="7" t="s">
        <v>50</v>
      </c>
      <c r="L7" s="7" t="s">
        <v>52</v>
      </c>
      <c r="M7" s="7" t="s">
        <v>394</v>
      </c>
      <c r="N7" s="184">
        <v>1450000</v>
      </c>
      <c r="O7" s="7">
        <v>0</v>
      </c>
      <c r="P7" s="7">
        <v>0</v>
      </c>
      <c r="Q7" s="7" t="s">
        <v>123</v>
      </c>
      <c r="R7" s="7" t="s">
        <v>122</v>
      </c>
      <c r="S7" s="120" t="s">
        <v>47</v>
      </c>
      <c r="T7" s="120">
        <v>3846666</v>
      </c>
      <c r="U7" s="94" t="s">
        <v>121</v>
      </c>
      <c r="V7" s="7" t="s">
        <v>120</v>
      </c>
      <c r="W7" s="7" t="s">
        <v>55</v>
      </c>
      <c r="X7" s="7" t="s">
        <v>50</v>
      </c>
      <c r="Y7" s="7"/>
      <c r="Z7" s="7"/>
      <c r="AA7" s="7"/>
      <c r="AB7" s="8">
        <f t="shared" si="0"/>
        <v>1450000</v>
      </c>
      <c r="AC7" s="7"/>
      <c r="AD7" s="7"/>
      <c r="AE7" s="7"/>
      <c r="AF7" s="7"/>
      <c r="AG7" s="7"/>
      <c r="AH7" s="7"/>
      <c r="AI7" s="7"/>
      <c r="AJ7" s="7"/>
      <c r="AK7" s="7"/>
      <c r="AL7" s="7"/>
      <c r="AM7" s="7"/>
    </row>
    <row r="8" spans="1:39" ht="113.25" customHeight="1" x14ac:dyDescent="0.3">
      <c r="A8" s="7" t="s">
        <v>39</v>
      </c>
      <c r="B8" s="88" t="s">
        <v>40</v>
      </c>
      <c r="C8" s="169" t="s">
        <v>41</v>
      </c>
      <c r="D8" s="7" t="s">
        <v>56</v>
      </c>
      <c r="E8" s="7" t="s">
        <v>43</v>
      </c>
      <c r="F8" s="7">
        <v>80111600</v>
      </c>
      <c r="G8" s="7" t="s">
        <v>57</v>
      </c>
      <c r="H8" s="7">
        <v>1</v>
      </c>
      <c r="I8" s="7">
        <v>1</v>
      </c>
      <c r="J8" s="7">
        <v>11</v>
      </c>
      <c r="K8" s="7">
        <v>1</v>
      </c>
      <c r="L8" s="7" t="s">
        <v>45</v>
      </c>
      <c r="M8" s="7" t="s">
        <v>394</v>
      </c>
      <c r="N8" s="184">
        <f>2900000*11</f>
        <v>31900000</v>
      </c>
      <c r="O8" s="7">
        <v>0</v>
      </c>
      <c r="P8" s="7">
        <v>0</v>
      </c>
      <c r="Q8" s="7" t="s">
        <v>123</v>
      </c>
      <c r="R8" s="7" t="s">
        <v>122</v>
      </c>
      <c r="S8" s="120" t="s">
        <v>47</v>
      </c>
      <c r="T8" s="120">
        <v>3846666</v>
      </c>
      <c r="U8" s="94" t="s">
        <v>121</v>
      </c>
      <c r="V8" s="7" t="s">
        <v>120</v>
      </c>
      <c r="W8" s="7" t="s">
        <v>58</v>
      </c>
      <c r="X8" s="7" t="s">
        <v>59</v>
      </c>
      <c r="Y8" s="7"/>
      <c r="Z8" s="7"/>
      <c r="AA8" s="7"/>
      <c r="AB8" s="8">
        <f t="shared" si="0"/>
        <v>31900000</v>
      </c>
      <c r="AC8" s="7"/>
      <c r="AD8" s="7"/>
      <c r="AE8" s="7"/>
      <c r="AF8" s="7"/>
      <c r="AG8" s="7"/>
      <c r="AH8" s="7"/>
      <c r="AI8" s="7"/>
      <c r="AJ8" s="7"/>
      <c r="AK8" s="7"/>
      <c r="AL8" s="7"/>
      <c r="AM8" s="7"/>
    </row>
    <row r="9" spans="1:39" ht="113.25" customHeight="1" x14ac:dyDescent="0.3">
      <c r="A9" s="7" t="s">
        <v>39</v>
      </c>
      <c r="B9" s="88" t="s">
        <v>40</v>
      </c>
      <c r="C9" s="169" t="s">
        <v>41</v>
      </c>
      <c r="D9" s="7" t="s">
        <v>56</v>
      </c>
      <c r="E9" s="7" t="s">
        <v>43</v>
      </c>
      <c r="F9" s="7">
        <v>80111600</v>
      </c>
      <c r="G9" s="7" t="s">
        <v>60</v>
      </c>
      <c r="H9" s="7">
        <v>1</v>
      </c>
      <c r="I9" s="7">
        <v>1</v>
      </c>
      <c r="J9" s="7">
        <v>11</v>
      </c>
      <c r="K9" s="7">
        <v>1</v>
      </c>
      <c r="L9" s="7" t="s">
        <v>45</v>
      </c>
      <c r="M9" s="7" t="s">
        <v>394</v>
      </c>
      <c r="N9" s="184">
        <f>2900000*11</f>
        <v>31900000</v>
      </c>
      <c r="O9" s="7">
        <v>0</v>
      </c>
      <c r="P9" s="7">
        <v>0</v>
      </c>
      <c r="Q9" s="7" t="s">
        <v>123</v>
      </c>
      <c r="R9" s="7" t="s">
        <v>122</v>
      </c>
      <c r="S9" s="120" t="s">
        <v>47</v>
      </c>
      <c r="T9" s="120">
        <v>3846666</v>
      </c>
      <c r="U9" s="94" t="s">
        <v>121</v>
      </c>
      <c r="V9" s="7" t="s">
        <v>120</v>
      </c>
      <c r="W9" s="7" t="s">
        <v>58</v>
      </c>
      <c r="X9" s="7" t="s">
        <v>59</v>
      </c>
      <c r="Y9" s="7"/>
      <c r="Z9" s="7"/>
      <c r="AA9" s="7"/>
      <c r="AB9" s="8">
        <f t="shared" si="0"/>
        <v>31900000</v>
      </c>
      <c r="AC9" s="7"/>
      <c r="AD9" s="7"/>
      <c r="AE9" s="7"/>
      <c r="AF9" s="7"/>
      <c r="AG9" s="7"/>
      <c r="AH9" s="7"/>
      <c r="AI9" s="7"/>
      <c r="AJ9" s="7"/>
      <c r="AK9" s="7"/>
      <c r="AL9" s="7"/>
      <c r="AM9" s="7"/>
    </row>
    <row r="10" spans="1:39" ht="113.25" customHeight="1" x14ac:dyDescent="0.3">
      <c r="A10" s="7" t="s">
        <v>39</v>
      </c>
      <c r="B10" s="88" t="s">
        <v>40</v>
      </c>
      <c r="C10" s="169" t="s">
        <v>41</v>
      </c>
      <c r="D10" s="7" t="s">
        <v>61</v>
      </c>
      <c r="E10" s="7" t="s">
        <v>43</v>
      </c>
      <c r="F10" s="7">
        <v>80111600</v>
      </c>
      <c r="G10" s="7" t="s">
        <v>62</v>
      </c>
      <c r="H10" s="7">
        <v>1</v>
      </c>
      <c r="I10" s="7">
        <v>1</v>
      </c>
      <c r="J10" s="7">
        <v>11</v>
      </c>
      <c r="K10" s="7">
        <v>1</v>
      </c>
      <c r="L10" s="7" t="s">
        <v>45</v>
      </c>
      <c r="M10" s="7" t="s">
        <v>394</v>
      </c>
      <c r="N10" s="184">
        <f>3130298*11</f>
        <v>34433278</v>
      </c>
      <c r="O10" s="7">
        <v>0</v>
      </c>
      <c r="P10" s="7">
        <v>0</v>
      </c>
      <c r="Q10" s="7" t="s">
        <v>123</v>
      </c>
      <c r="R10" s="7" t="s">
        <v>122</v>
      </c>
      <c r="S10" s="120" t="s">
        <v>47</v>
      </c>
      <c r="T10" s="120">
        <v>3846666</v>
      </c>
      <c r="U10" s="94" t="s">
        <v>121</v>
      </c>
      <c r="V10" s="7" t="s">
        <v>120</v>
      </c>
      <c r="W10" s="7" t="s">
        <v>46</v>
      </c>
      <c r="X10" s="7" t="s">
        <v>63</v>
      </c>
      <c r="Y10" s="7"/>
      <c r="Z10" s="7"/>
      <c r="AA10" s="7"/>
      <c r="AB10" s="8">
        <f t="shared" si="0"/>
        <v>34433278</v>
      </c>
      <c r="AC10" s="7"/>
      <c r="AD10" s="7"/>
      <c r="AE10" s="7"/>
      <c r="AF10" s="7"/>
      <c r="AG10" s="7"/>
      <c r="AH10" s="7"/>
      <c r="AI10" s="7"/>
      <c r="AJ10" s="7"/>
      <c r="AK10" s="7"/>
      <c r="AL10" s="7"/>
      <c r="AM10" s="7"/>
    </row>
    <row r="11" spans="1:39" ht="113.25" customHeight="1" x14ac:dyDescent="0.3">
      <c r="A11" s="7" t="s">
        <v>39</v>
      </c>
      <c r="B11" s="88" t="s">
        <v>40</v>
      </c>
      <c r="C11" s="169" t="s">
        <v>41</v>
      </c>
      <c r="D11" s="7" t="s">
        <v>61</v>
      </c>
      <c r="E11" s="7" t="s">
        <v>43</v>
      </c>
      <c r="F11" s="7">
        <v>80101509</v>
      </c>
      <c r="G11" s="7" t="s">
        <v>64</v>
      </c>
      <c r="H11" s="104">
        <v>5</v>
      </c>
      <c r="I11" s="104">
        <v>6</v>
      </c>
      <c r="J11" s="104">
        <v>6</v>
      </c>
      <c r="K11" s="7">
        <v>1</v>
      </c>
      <c r="L11" s="7" t="s">
        <v>45</v>
      </c>
      <c r="M11" s="7" t="s">
        <v>394</v>
      </c>
      <c r="N11" s="184">
        <v>25000000</v>
      </c>
      <c r="O11" s="7">
        <v>0</v>
      </c>
      <c r="P11" s="7">
        <v>0</v>
      </c>
      <c r="Q11" s="7" t="s">
        <v>123</v>
      </c>
      <c r="R11" s="7" t="s">
        <v>122</v>
      </c>
      <c r="S11" s="120" t="s">
        <v>47</v>
      </c>
      <c r="T11" s="120">
        <v>3846666</v>
      </c>
      <c r="U11" s="94" t="s">
        <v>121</v>
      </c>
      <c r="V11" s="7" t="s">
        <v>120</v>
      </c>
      <c r="W11" s="7" t="s">
        <v>65</v>
      </c>
      <c r="X11" s="7" t="s">
        <v>63</v>
      </c>
      <c r="Y11" s="7"/>
      <c r="Z11" s="7"/>
      <c r="AA11" s="7"/>
      <c r="AB11" s="8">
        <f t="shared" si="0"/>
        <v>25000000</v>
      </c>
      <c r="AC11" s="7"/>
      <c r="AD11" s="7"/>
      <c r="AE11" s="7"/>
      <c r="AF11" s="7"/>
      <c r="AG11" s="7"/>
      <c r="AH11" s="7"/>
      <c r="AI11" s="7"/>
      <c r="AJ11" s="7"/>
      <c r="AK11" s="7"/>
      <c r="AL11" s="7"/>
      <c r="AM11" s="7"/>
    </row>
    <row r="12" spans="1:39" ht="113.25" customHeight="1" x14ac:dyDescent="0.3">
      <c r="A12" s="7" t="s">
        <v>39</v>
      </c>
      <c r="B12" s="88" t="s">
        <v>40</v>
      </c>
      <c r="C12" s="169" t="s">
        <v>41</v>
      </c>
      <c r="D12" s="7" t="s">
        <v>61</v>
      </c>
      <c r="E12" s="7" t="s">
        <v>43</v>
      </c>
      <c r="F12" s="7" t="s">
        <v>50</v>
      </c>
      <c r="G12" s="7" t="s">
        <v>51</v>
      </c>
      <c r="H12" s="7" t="s">
        <v>50</v>
      </c>
      <c r="I12" s="7" t="s">
        <v>50</v>
      </c>
      <c r="J12" s="7" t="s">
        <v>50</v>
      </c>
      <c r="K12" s="7" t="s">
        <v>50</v>
      </c>
      <c r="L12" s="7" t="s">
        <v>52</v>
      </c>
      <c r="M12" s="7" t="s">
        <v>394</v>
      </c>
      <c r="N12" s="184">
        <v>4211333</v>
      </c>
      <c r="O12" s="7">
        <v>0</v>
      </c>
      <c r="P12" s="7">
        <v>0</v>
      </c>
      <c r="Q12" s="7" t="s">
        <v>123</v>
      </c>
      <c r="R12" s="7" t="s">
        <v>122</v>
      </c>
      <c r="S12" s="120" t="s">
        <v>47</v>
      </c>
      <c r="T12" s="120">
        <v>3846666</v>
      </c>
      <c r="U12" s="94" t="s">
        <v>121</v>
      </c>
      <c r="V12" s="7" t="s">
        <v>120</v>
      </c>
      <c r="W12" s="7" t="s">
        <v>53</v>
      </c>
      <c r="X12" s="7" t="s">
        <v>50</v>
      </c>
      <c r="Y12" s="7"/>
      <c r="Z12" s="7"/>
      <c r="AA12" s="7"/>
      <c r="AB12" s="8">
        <f t="shared" si="0"/>
        <v>4211333</v>
      </c>
      <c r="AC12" s="7"/>
      <c r="AD12" s="7"/>
      <c r="AE12" s="7"/>
      <c r="AF12" s="7"/>
      <c r="AG12" s="7"/>
      <c r="AH12" s="7"/>
      <c r="AI12" s="7"/>
      <c r="AJ12" s="7"/>
      <c r="AK12" s="7"/>
      <c r="AL12" s="7"/>
      <c r="AM12" s="7"/>
    </row>
    <row r="13" spans="1:39" ht="113.25" customHeight="1" x14ac:dyDescent="0.3">
      <c r="A13" s="7" t="s">
        <v>39</v>
      </c>
      <c r="B13" s="88" t="s">
        <v>40</v>
      </c>
      <c r="C13" s="169" t="s">
        <v>41</v>
      </c>
      <c r="D13" s="7" t="s">
        <v>61</v>
      </c>
      <c r="E13" s="7" t="s">
        <v>43</v>
      </c>
      <c r="F13" s="7" t="s">
        <v>50</v>
      </c>
      <c r="G13" s="7" t="s">
        <v>54</v>
      </c>
      <c r="H13" s="7" t="s">
        <v>50</v>
      </c>
      <c r="I13" s="7" t="s">
        <v>50</v>
      </c>
      <c r="J13" s="7" t="s">
        <v>50</v>
      </c>
      <c r="K13" s="7" t="s">
        <v>50</v>
      </c>
      <c r="L13" s="7" t="s">
        <v>52</v>
      </c>
      <c r="M13" s="7" t="s">
        <v>394</v>
      </c>
      <c r="N13" s="184">
        <v>370000</v>
      </c>
      <c r="O13" s="7">
        <v>0</v>
      </c>
      <c r="P13" s="7">
        <v>0</v>
      </c>
      <c r="Q13" s="7" t="s">
        <v>123</v>
      </c>
      <c r="R13" s="7" t="s">
        <v>122</v>
      </c>
      <c r="S13" s="120" t="s">
        <v>47</v>
      </c>
      <c r="T13" s="120">
        <v>3846666</v>
      </c>
      <c r="U13" s="94" t="s">
        <v>121</v>
      </c>
      <c r="V13" s="7" t="s">
        <v>120</v>
      </c>
      <c r="W13" s="7" t="s">
        <v>55</v>
      </c>
      <c r="X13" s="7" t="s">
        <v>50</v>
      </c>
      <c r="Y13" s="7"/>
      <c r="Z13" s="7"/>
      <c r="AA13" s="7"/>
      <c r="AB13" s="8">
        <f t="shared" si="0"/>
        <v>370000</v>
      </c>
      <c r="AC13" s="7"/>
      <c r="AD13" s="7"/>
      <c r="AE13" s="7"/>
      <c r="AF13" s="7"/>
      <c r="AG13" s="7"/>
      <c r="AH13" s="7"/>
      <c r="AI13" s="7"/>
      <c r="AJ13" s="7"/>
      <c r="AK13" s="7"/>
      <c r="AL13" s="7"/>
      <c r="AM13" s="7"/>
    </row>
    <row r="14" spans="1:39" ht="113.25" customHeight="1" x14ac:dyDescent="0.3">
      <c r="A14" s="7" t="s">
        <v>39</v>
      </c>
      <c r="B14" s="88" t="s">
        <v>40</v>
      </c>
      <c r="C14" s="169" t="s">
        <v>41</v>
      </c>
      <c r="D14" s="7" t="s">
        <v>66</v>
      </c>
      <c r="E14" s="7" t="s">
        <v>67</v>
      </c>
      <c r="F14" s="7">
        <v>80111600</v>
      </c>
      <c r="G14" s="7" t="s">
        <v>462</v>
      </c>
      <c r="H14" s="7">
        <v>1</v>
      </c>
      <c r="I14" s="7">
        <v>1</v>
      </c>
      <c r="J14" s="7">
        <v>11</v>
      </c>
      <c r="K14" s="7">
        <v>1</v>
      </c>
      <c r="L14" s="7" t="s">
        <v>45</v>
      </c>
      <c r="M14" s="7" t="s">
        <v>394</v>
      </c>
      <c r="N14" s="184">
        <f>3130298*11+5166722</f>
        <v>39600000</v>
      </c>
      <c r="O14" s="7">
        <v>0</v>
      </c>
      <c r="P14" s="7">
        <v>0</v>
      </c>
      <c r="Q14" s="7" t="s">
        <v>123</v>
      </c>
      <c r="R14" s="7" t="s">
        <v>122</v>
      </c>
      <c r="S14" s="120" t="s">
        <v>47</v>
      </c>
      <c r="T14" s="120">
        <v>3846666</v>
      </c>
      <c r="U14" s="94" t="s">
        <v>121</v>
      </c>
      <c r="V14" s="7" t="s">
        <v>120</v>
      </c>
      <c r="W14" s="7" t="s">
        <v>46</v>
      </c>
      <c r="X14" s="7" t="s">
        <v>68</v>
      </c>
      <c r="Y14" s="7"/>
      <c r="Z14" s="7"/>
      <c r="AA14" s="7"/>
      <c r="AB14" s="8">
        <f t="shared" si="0"/>
        <v>39600000</v>
      </c>
      <c r="AC14" s="7"/>
      <c r="AD14" s="7"/>
      <c r="AE14" s="7"/>
      <c r="AF14" s="7"/>
      <c r="AG14" s="7"/>
      <c r="AH14" s="7"/>
      <c r="AI14" s="7"/>
      <c r="AJ14" s="7"/>
      <c r="AK14" s="7"/>
      <c r="AL14" s="7"/>
      <c r="AM14" s="7"/>
    </row>
    <row r="15" spans="1:39" ht="113.25" customHeight="1" x14ac:dyDescent="0.3">
      <c r="A15" s="7" t="s">
        <v>39</v>
      </c>
      <c r="B15" s="88" t="s">
        <v>40</v>
      </c>
      <c r="C15" s="169" t="s">
        <v>41</v>
      </c>
      <c r="D15" s="7" t="s">
        <v>66</v>
      </c>
      <c r="E15" s="7" t="s">
        <v>67</v>
      </c>
      <c r="F15" s="7">
        <v>80111600</v>
      </c>
      <c r="G15" s="120" t="s">
        <v>472</v>
      </c>
      <c r="H15" s="7">
        <v>1</v>
      </c>
      <c r="I15" s="7">
        <v>1</v>
      </c>
      <c r="J15" s="7">
        <v>11</v>
      </c>
      <c r="K15" s="7">
        <v>1</v>
      </c>
      <c r="L15" s="7" t="s">
        <v>45</v>
      </c>
      <c r="M15" s="7" t="s">
        <v>394</v>
      </c>
      <c r="N15" s="184">
        <f>3219000*11</f>
        <v>35409000</v>
      </c>
      <c r="O15" s="7">
        <v>0</v>
      </c>
      <c r="P15" s="7">
        <v>0</v>
      </c>
      <c r="Q15" s="7" t="s">
        <v>123</v>
      </c>
      <c r="R15" s="7" t="s">
        <v>122</v>
      </c>
      <c r="S15" s="120" t="s">
        <v>47</v>
      </c>
      <c r="T15" s="120">
        <v>3846666</v>
      </c>
      <c r="U15" s="94" t="s">
        <v>121</v>
      </c>
      <c r="V15" s="7" t="s">
        <v>120</v>
      </c>
      <c r="W15" s="7" t="s">
        <v>46</v>
      </c>
      <c r="X15" s="7" t="s">
        <v>68</v>
      </c>
      <c r="Y15" s="7"/>
      <c r="Z15" s="7"/>
      <c r="AA15" s="7"/>
      <c r="AB15" s="8">
        <f t="shared" si="0"/>
        <v>35409000</v>
      </c>
      <c r="AC15" s="7"/>
      <c r="AD15" s="7"/>
      <c r="AE15" s="7"/>
      <c r="AF15" s="7"/>
      <c r="AG15" s="7"/>
      <c r="AH15" s="7"/>
      <c r="AI15" s="7"/>
      <c r="AJ15" s="7"/>
      <c r="AK15" s="7"/>
      <c r="AL15" s="7"/>
      <c r="AM15" s="7"/>
    </row>
    <row r="16" spans="1:39" ht="113.25" customHeight="1" x14ac:dyDescent="0.3">
      <c r="A16" s="7" t="s">
        <v>39</v>
      </c>
      <c r="B16" s="88" t="s">
        <v>40</v>
      </c>
      <c r="C16" s="169" t="s">
        <v>41</v>
      </c>
      <c r="D16" s="7" t="s">
        <v>66</v>
      </c>
      <c r="E16" s="7" t="s">
        <v>67</v>
      </c>
      <c r="F16" s="7">
        <v>80111600</v>
      </c>
      <c r="G16" s="120" t="s">
        <v>69</v>
      </c>
      <c r="H16" s="7">
        <v>1</v>
      </c>
      <c r="I16" s="7">
        <v>1</v>
      </c>
      <c r="J16" s="7">
        <v>11</v>
      </c>
      <c r="K16" s="7">
        <v>1</v>
      </c>
      <c r="L16" s="7" t="s">
        <v>45</v>
      </c>
      <c r="M16" s="7" t="s">
        <v>394</v>
      </c>
      <c r="N16" s="184">
        <f>3130298*11</f>
        <v>34433278</v>
      </c>
      <c r="O16" s="7">
        <v>0</v>
      </c>
      <c r="P16" s="7">
        <v>0</v>
      </c>
      <c r="Q16" s="7" t="s">
        <v>123</v>
      </c>
      <c r="R16" s="7" t="s">
        <v>122</v>
      </c>
      <c r="S16" s="120" t="s">
        <v>47</v>
      </c>
      <c r="T16" s="120">
        <v>3846666</v>
      </c>
      <c r="U16" s="94" t="s">
        <v>121</v>
      </c>
      <c r="V16" s="7" t="s">
        <v>120</v>
      </c>
      <c r="W16" s="7" t="s">
        <v>46</v>
      </c>
      <c r="X16" s="7" t="s">
        <v>68</v>
      </c>
      <c r="Y16" s="7"/>
      <c r="Z16" s="7"/>
      <c r="AA16" s="7"/>
      <c r="AB16" s="8">
        <f t="shared" si="0"/>
        <v>34433278</v>
      </c>
      <c r="AC16" s="7"/>
      <c r="AD16" s="7"/>
      <c r="AE16" s="7"/>
      <c r="AF16" s="7"/>
      <c r="AG16" s="7"/>
      <c r="AH16" s="7"/>
      <c r="AI16" s="7"/>
      <c r="AJ16" s="7"/>
      <c r="AK16" s="7"/>
      <c r="AL16" s="7"/>
      <c r="AM16" s="7"/>
    </row>
    <row r="17" spans="1:39" ht="113.25" customHeight="1" x14ac:dyDescent="0.3">
      <c r="A17" s="7" t="s">
        <v>70</v>
      </c>
      <c r="B17" s="88" t="s">
        <v>40</v>
      </c>
      <c r="C17" s="87" t="s">
        <v>71</v>
      </c>
      <c r="D17" s="7" t="s">
        <v>74</v>
      </c>
      <c r="E17" s="7" t="s">
        <v>73</v>
      </c>
      <c r="F17" s="7">
        <v>80111600</v>
      </c>
      <c r="G17" s="120" t="s">
        <v>472</v>
      </c>
      <c r="H17" s="7">
        <v>1</v>
      </c>
      <c r="I17" s="7">
        <v>1</v>
      </c>
      <c r="J17" s="7">
        <v>11</v>
      </c>
      <c r="K17" s="7">
        <v>1</v>
      </c>
      <c r="L17" s="7" t="s">
        <v>45</v>
      </c>
      <c r="M17" s="7" t="s">
        <v>394</v>
      </c>
      <c r="N17" s="184">
        <f>2914982*2</f>
        <v>5829964</v>
      </c>
      <c r="O17" s="7">
        <v>0</v>
      </c>
      <c r="P17" s="7">
        <v>0</v>
      </c>
      <c r="Q17" s="7" t="s">
        <v>123</v>
      </c>
      <c r="R17" s="7" t="s">
        <v>122</v>
      </c>
      <c r="S17" s="120" t="s">
        <v>47</v>
      </c>
      <c r="T17" s="120">
        <v>3846666</v>
      </c>
      <c r="U17" s="94" t="s">
        <v>121</v>
      </c>
      <c r="V17" s="7" t="s">
        <v>120</v>
      </c>
      <c r="W17" s="7" t="s">
        <v>46</v>
      </c>
      <c r="X17" s="7" t="s">
        <v>68</v>
      </c>
      <c r="Y17" s="7"/>
      <c r="Z17" s="7"/>
      <c r="AA17" s="7"/>
      <c r="AB17" s="8">
        <f t="shared" ref="AB17" si="2">+N17+Y17+Z17-AA17</f>
        <v>5829964</v>
      </c>
      <c r="AC17" s="7"/>
      <c r="AD17" s="7"/>
      <c r="AE17" s="7"/>
      <c r="AF17" s="7"/>
      <c r="AG17" s="7"/>
      <c r="AH17" s="7"/>
      <c r="AI17" s="7"/>
      <c r="AJ17" s="7"/>
      <c r="AK17" s="7"/>
      <c r="AL17" s="7"/>
      <c r="AM17" s="7"/>
    </row>
    <row r="18" spans="1:39" ht="113.25" customHeight="1" x14ac:dyDescent="0.3">
      <c r="A18" s="7" t="s">
        <v>70</v>
      </c>
      <c r="B18" s="88" t="s">
        <v>40</v>
      </c>
      <c r="C18" s="87" t="s">
        <v>71</v>
      </c>
      <c r="D18" s="7" t="s">
        <v>74</v>
      </c>
      <c r="E18" s="7" t="s">
        <v>73</v>
      </c>
      <c r="F18" s="7">
        <v>80111600</v>
      </c>
      <c r="G18" s="7" t="s">
        <v>476</v>
      </c>
      <c r="H18" s="7">
        <v>1</v>
      </c>
      <c r="I18" s="7">
        <v>1</v>
      </c>
      <c r="J18" s="7">
        <v>11</v>
      </c>
      <c r="K18" s="7">
        <v>1</v>
      </c>
      <c r="L18" s="7" t="s">
        <v>45</v>
      </c>
      <c r="M18" s="7" t="s">
        <v>394</v>
      </c>
      <c r="N18" s="184">
        <f>2320000*11</f>
        <v>25520000</v>
      </c>
      <c r="O18" s="7">
        <v>0</v>
      </c>
      <c r="P18" s="7">
        <v>0</v>
      </c>
      <c r="Q18" s="7" t="s">
        <v>123</v>
      </c>
      <c r="R18" s="7" t="s">
        <v>122</v>
      </c>
      <c r="S18" s="120" t="s">
        <v>47</v>
      </c>
      <c r="T18" s="120">
        <v>3846666</v>
      </c>
      <c r="U18" s="94" t="s">
        <v>121</v>
      </c>
      <c r="V18" s="7" t="s">
        <v>120</v>
      </c>
      <c r="W18" s="7" t="s">
        <v>475</v>
      </c>
      <c r="X18" s="7" t="s">
        <v>473</v>
      </c>
      <c r="Y18" s="7"/>
      <c r="Z18" s="7"/>
      <c r="AA18" s="7"/>
      <c r="AB18" s="8">
        <f t="shared" si="0"/>
        <v>25520000</v>
      </c>
      <c r="AC18" s="7"/>
      <c r="AD18" s="7"/>
      <c r="AE18" s="7"/>
      <c r="AF18" s="7"/>
      <c r="AG18" s="7"/>
      <c r="AH18" s="7"/>
      <c r="AI18" s="7"/>
      <c r="AJ18" s="7"/>
      <c r="AK18" s="7"/>
      <c r="AL18" s="7"/>
      <c r="AM18" s="7"/>
    </row>
    <row r="19" spans="1:39" ht="113.25" customHeight="1" x14ac:dyDescent="0.3">
      <c r="A19" s="7" t="s">
        <v>70</v>
      </c>
      <c r="B19" s="88" t="s">
        <v>40</v>
      </c>
      <c r="C19" s="87" t="s">
        <v>71</v>
      </c>
      <c r="D19" s="7" t="s">
        <v>74</v>
      </c>
      <c r="E19" s="7" t="s">
        <v>73</v>
      </c>
      <c r="F19" s="7">
        <v>80111600</v>
      </c>
      <c r="G19" s="7" t="s">
        <v>75</v>
      </c>
      <c r="H19" s="7">
        <v>1</v>
      </c>
      <c r="I19" s="7">
        <v>1</v>
      </c>
      <c r="J19" s="7">
        <v>11</v>
      </c>
      <c r="K19" s="7">
        <v>1</v>
      </c>
      <c r="L19" s="7" t="s">
        <v>45</v>
      </c>
      <c r="M19" s="7" t="s">
        <v>394</v>
      </c>
      <c r="N19" s="184">
        <f>3130298*11</f>
        <v>34433278</v>
      </c>
      <c r="O19" s="7">
        <v>0</v>
      </c>
      <c r="P19" s="7">
        <v>0</v>
      </c>
      <c r="Q19" s="7" t="s">
        <v>123</v>
      </c>
      <c r="R19" s="7" t="s">
        <v>122</v>
      </c>
      <c r="S19" s="120" t="s">
        <v>47</v>
      </c>
      <c r="T19" s="120">
        <v>3846666</v>
      </c>
      <c r="U19" s="94" t="s">
        <v>121</v>
      </c>
      <c r="V19" s="7" t="s">
        <v>120</v>
      </c>
      <c r="W19" s="7" t="s">
        <v>46</v>
      </c>
      <c r="X19" s="7" t="s">
        <v>473</v>
      </c>
      <c r="Y19" s="7"/>
      <c r="Z19" s="7"/>
      <c r="AA19" s="7"/>
      <c r="AB19" s="8">
        <f t="shared" si="0"/>
        <v>34433278</v>
      </c>
      <c r="AC19" s="7"/>
      <c r="AD19" s="7"/>
      <c r="AE19" s="7"/>
      <c r="AF19" s="7"/>
      <c r="AG19" s="7"/>
      <c r="AH19" s="7"/>
      <c r="AI19" s="7"/>
      <c r="AJ19" s="7"/>
      <c r="AK19" s="7"/>
      <c r="AL19" s="7"/>
      <c r="AM19" s="7"/>
    </row>
    <row r="20" spans="1:39" ht="113.25" customHeight="1" x14ac:dyDescent="0.3">
      <c r="A20" s="7" t="s">
        <v>70</v>
      </c>
      <c r="B20" s="88" t="s">
        <v>40</v>
      </c>
      <c r="C20" s="87" t="s">
        <v>71</v>
      </c>
      <c r="D20" s="7" t="s">
        <v>74</v>
      </c>
      <c r="E20" s="7" t="s">
        <v>73</v>
      </c>
      <c r="F20" s="7">
        <v>80111600</v>
      </c>
      <c r="G20" s="7" t="s">
        <v>76</v>
      </c>
      <c r="H20" s="7">
        <v>1</v>
      </c>
      <c r="I20" s="7">
        <v>1</v>
      </c>
      <c r="J20" s="7">
        <v>11</v>
      </c>
      <c r="K20" s="7">
        <v>1</v>
      </c>
      <c r="L20" s="7" t="s">
        <v>45</v>
      </c>
      <c r="M20" s="7" t="s">
        <v>394</v>
      </c>
      <c r="N20" s="184">
        <f>1200265*11</f>
        <v>13202915</v>
      </c>
      <c r="O20" s="7">
        <v>0</v>
      </c>
      <c r="P20" s="7">
        <v>0</v>
      </c>
      <c r="Q20" s="7" t="s">
        <v>123</v>
      </c>
      <c r="R20" s="7" t="s">
        <v>122</v>
      </c>
      <c r="S20" s="120" t="s">
        <v>47</v>
      </c>
      <c r="T20" s="120">
        <v>3846666</v>
      </c>
      <c r="U20" s="94" t="s">
        <v>121</v>
      </c>
      <c r="V20" s="7" t="s">
        <v>120</v>
      </c>
      <c r="W20" s="7" t="s">
        <v>58</v>
      </c>
      <c r="X20" s="7" t="s">
        <v>473</v>
      </c>
      <c r="Y20" s="7"/>
      <c r="Z20" s="7"/>
      <c r="AA20" s="7"/>
      <c r="AB20" s="8">
        <f t="shared" si="0"/>
        <v>13202915</v>
      </c>
      <c r="AC20" s="7"/>
      <c r="AD20" s="7"/>
      <c r="AE20" s="7"/>
      <c r="AF20" s="7"/>
      <c r="AG20" s="7"/>
      <c r="AH20" s="7"/>
      <c r="AI20" s="7"/>
      <c r="AJ20" s="7"/>
      <c r="AK20" s="7"/>
      <c r="AL20" s="7"/>
      <c r="AM20" s="7"/>
    </row>
    <row r="21" spans="1:39" ht="113.25" customHeight="1" x14ac:dyDescent="0.3">
      <c r="A21" s="7" t="s">
        <v>70</v>
      </c>
      <c r="B21" s="88" t="s">
        <v>40</v>
      </c>
      <c r="C21" s="87" t="s">
        <v>71</v>
      </c>
      <c r="D21" s="7" t="s">
        <v>74</v>
      </c>
      <c r="E21" s="7" t="s">
        <v>73</v>
      </c>
      <c r="F21" s="7">
        <v>80111600</v>
      </c>
      <c r="G21" s="7" t="s">
        <v>77</v>
      </c>
      <c r="H21" s="7">
        <v>1</v>
      </c>
      <c r="I21" s="7">
        <v>1</v>
      </c>
      <c r="J21" s="7">
        <v>11</v>
      </c>
      <c r="K21" s="7">
        <v>1</v>
      </c>
      <c r="L21" s="7" t="s">
        <v>45</v>
      </c>
      <c r="M21" s="7" t="s">
        <v>394</v>
      </c>
      <c r="N21" s="184">
        <f>1200265*11</f>
        <v>13202915</v>
      </c>
      <c r="O21" s="7">
        <v>0</v>
      </c>
      <c r="P21" s="7">
        <v>0</v>
      </c>
      <c r="Q21" s="7" t="s">
        <v>123</v>
      </c>
      <c r="R21" s="7" t="s">
        <v>122</v>
      </c>
      <c r="S21" s="120" t="s">
        <v>47</v>
      </c>
      <c r="T21" s="120">
        <v>3846666</v>
      </c>
      <c r="U21" s="94" t="s">
        <v>121</v>
      </c>
      <c r="V21" s="7" t="s">
        <v>120</v>
      </c>
      <c r="W21" s="7" t="s">
        <v>58</v>
      </c>
      <c r="X21" s="7" t="s">
        <v>473</v>
      </c>
      <c r="Y21" s="7"/>
      <c r="Z21" s="7"/>
      <c r="AA21" s="7"/>
      <c r="AB21" s="8">
        <f t="shared" si="0"/>
        <v>13202915</v>
      </c>
      <c r="AC21" s="7"/>
      <c r="AD21" s="7"/>
      <c r="AE21" s="7"/>
      <c r="AF21" s="7"/>
      <c r="AG21" s="7"/>
      <c r="AH21" s="7"/>
      <c r="AI21" s="7"/>
      <c r="AJ21" s="7"/>
      <c r="AK21" s="7"/>
      <c r="AL21" s="7"/>
      <c r="AM21" s="7"/>
    </row>
    <row r="22" spans="1:39" ht="113.25" customHeight="1" x14ac:dyDescent="0.3">
      <c r="A22" s="7" t="s">
        <v>70</v>
      </c>
      <c r="B22" s="88" t="s">
        <v>40</v>
      </c>
      <c r="C22" s="87" t="s">
        <v>71</v>
      </c>
      <c r="D22" s="7" t="s">
        <v>78</v>
      </c>
      <c r="E22" s="7" t="s">
        <v>79</v>
      </c>
      <c r="F22" s="7">
        <v>90121702</v>
      </c>
      <c r="G22" s="7" t="s">
        <v>80</v>
      </c>
      <c r="H22" s="7">
        <v>2</v>
      </c>
      <c r="I22" s="7">
        <v>2</v>
      </c>
      <c r="J22" s="7">
        <v>10</v>
      </c>
      <c r="K22" s="7">
        <v>1</v>
      </c>
      <c r="L22" s="7" t="s">
        <v>45</v>
      </c>
      <c r="M22" s="7" t="s">
        <v>410</v>
      </c>
      <c r="N22" s="184">
        <v>10000000</v>
      </c>
      <c r="O22" s="7">
        <v>0</v>
      </c>
      <c r="P22" s="7">
        <v>0</v>
      </c>
      <c r="Q22" s="7" t="s">
        <v>123</v>
      </c>
      <c r="R22" s="7" t="s">
        <v>122</v>
      </c>
      <c r="S22" s="120" t="s">
        <v>47</v>
      </c>
      <c r="T22" s="120">
        <v>3846666</v>
      </c>
      <c r="U22" s="94" t="s">
        <v>121</v>
      </c>
      <c r="V22" s="7" t="s">
        <v>120</v>
      </c>
      <c r="W22" s="7" t="s">
        <v>65</v>
      </c>
      <c r="X22" s="7" t="s">
        <v>81</v>
      </c>
      <c r="Y22" s="7"/>
      <c r="Z22" s="7"/>
      <c r="AA22" s="7"/>
      <c r="AB22" s="8">
        <f t="shared" si="0"/>
        <v>10000000</v>
      </c>
      <c r="AC22" s="7"/>
      <c r="AD22" s="7"/>
      <c r="AE22" s="7"/>
      <c r="AF22" s="7"/>
      <c r="AG22" s="7"/>
      <c r="AH22" s="7"/>
      <c r="AI22" s="7"/>
      <c r="AJ22" s="7"/>
      <c r="AK22" s="7"/>
      <c r="AL22" s="7"/>
      <c r="AM22" s="7"/>
    </row>
    <row r="23" spans="1:39" ht="113.25" customHeight="1" x14ac:dyDescent="0.3">
      <c r="A23" s="7" t="s">
        <v>70</v>
      </c>
      <c r="B23" s="88" t="s">
        <v>40</v>
      </c>
      <c r="C23" s="87" t="s">
        <v>71</v>
      </c>
      <c r="D23" s="7" t="s">
        <v>82</v>
      </c>
      <c r="E23" s="7" t="s">
        <v>79</v>
      </c>
      <c r="F23" s="7">
        <v>80111600</v>
      </c>
      <c r="G23" s="7" t="s">
        <v>83</v>
      </c>
      <c r="H23" s="104">
        <v>1</v>
      </c>
      <c r="I23" s="104">
        <v>1</v>
      </c>
      <c r="J23" s="104">
        <v>11</v>
      </c>
      <c r="K23" s="104">
        <v>1</v>
      </c>
      <c r="L23" s="7" t="s">
        <v>45</v>
      </c>
      <c r="M23" s="7" t="s">
        <v>394</v>
      </c>
      <c r="N23" s="184">
        <f>1875812*11</f>
        <v>20633932</v>
      </c>
      <c r="O23" s="7">
        <v>0</v>
      </c>
      <c r="P23" s="7">
        <v>0</v>
      </c>
      <c r="Q23" s="7" t="s">
        <v>123</v>
      </c>
      <c r="R23" s="7" t="s">
        <v>122</v>
      </c>
      <c r="S23" s="120" t="s">
        <v>47</v>
      </c>
      <c r="T23" s="120">
        <v>3846666</v>
      </c>
      <c r="U23" s="94" t="s">
        <v>121</v>
      </c>
      <c r="V23" s="7" t="s">
        <v>120</v>
      </c>
      <c r="W23" s="7" t="s">
        <v>58</v>
      </c>
      <c r="X23" s="7" t="s">
        <v>474</v>
      </c>
      <c r="Y23" s="7"/>
      <c r="Z23" s="7"/>
      <c r="AA23" s="7"/>
      <c r="AB23" s="8">
        <f t="shared" si="0"/>
        <v>20633932</v>
      </c>
      <c r="AC23" s="7"/>
      <c r="AD23" s="7"/>
      <c r="AE23" s="7"/>
      <c r="AF23" s="7"/>
      <c r="AG23" s="7"/>
      <c r="AH23" s="7"/>
      <c r="AI23" s="7"/>
      <c r="AJ23" s="7"/>
      <c r="AK23" s="7"/>
      <c r="AL23" s="7"/>
      <c r="AM23" s="7"/>
    </row>
    <row r="24" spans="1:39" ht="113.25" customHeight="1" x14ac:dyDescent="0.3">
      <c r="A24" s="7" t="s">
        <v>70</v>
      </c>
      <c r="B24" s="88" t="s">
        <v>40</v>
      </c>
      <c r="C24" s="87" t="s">
        <v>71</v>
      </c>
      <c r="D24" s="7" t="s">
        <v>82</v>
      </c>
      <c r="E24" s="7" t="s">
        <v>79</v>
      </c>
      <c r="F24" s="7">
        <v>80111600</v>
      </c>
      <c r="G24" s="7" t="s">
        <v>83</v>
      </c>
      <c r="H24" s="104">
        <v>1</v>
      </c>
      <c r="I24" s="104">
        <v>1</v>
      </c>
      <c r="J24" s="104">
        <v>11</v>
      </c>
      <c r="K24" s="7">
        <v>1</v>
      </c>
      <c r="L24" s="7" t="s">
        <v>45</v>
      </c>
      <c r="M24" s="7" t="s">
        <v>394</v>
      </c>
      <c r="N24" s="184">
        <f t="shared" ref="N24:N25" si="3">1875812*11</f>
        <v>20633932</v>
      </c>
      <c r="O24" s="7">
        <v>0</v>
      </c>
      <c r="P24" s="7">
        <v>0</v>
      </c>
      <c r="Q24" s="7" t="s">
        <v>123</v>
      </c>
      <c r="R24" s="7" t="s">
        <v>122</v>
      </c>
      <c r="S24" s="120" t="s">
        <v>47</v>
      </c>
      <c r="T24" s="120">
        <v>3846666</v>
      </c>
      <c r="U24" s="94" t="s">
        <v>121</v>
      </c>
      <c r="V24" s="7" t="s">
        <v>120</v>
      </c>
      <c r="W24" s="7" t="s">
        <v>58</v>
      </c>
      <c r="X24" s="7" t="s">
        <v>474</v>
      </c>
      <c r="Y24" s="7"/>
      <c r="Z24" s="7"/>
      <c r="AA24" s="7"/>
      <c r="AB24" s="8">
        <f t="shared" si="0"/>
        <v>20633932</v>
      </c>
      <c r="AC24" s="7"/>
      <c r="AD24" s="7"/>
      <c r="AE24" s="7"/>
      <c r="AF24" s="7"/>
      <c r="AG24" s="7"/>
      <c r="AH24" s="7"/>
      <c r="AI24" s="7"/>
      <c r="AJ24" s="7"/>
      <c r="AK24" s="7"/>
      <c r="AL24" s="7"/>
      <c r="AM24" s="7"/>
    </row>
    <row r="25" spans="1:39" ht="113.25" customHeight="1" x14ac:dyDescent="0.3">
      <c r="A25" s="7" t="s">
        <v>70</v>
      </c>
      <c r="B25" s="88" t="s">
        <v>40</v>
      </c>
      <c r="C25" s="87" t="s">
        <v>71</v>
      </c>
      <c r="D25" s="7" t="s">
        <v>82</v>
      </c>
      <c r="E25" s="7" t="s">
        <v>79</v>
      </c>
      <c r="F25" s="7">
        <v>80111600</v>
      </c>
      <c r="G25" s="7" t="s">
        <v>83</v>
      </c>
      <c r="H25" s="104">
        <v>1</v>
      </c>
      <c r="I25" s="104">
        <v>1</v>
      </c>
      <c r="J25" s="104">
        <v>11</v>
      </c>
      <c r="K25" s="7">
        <v>1</v>
      </c>
      <c r="L25" s="7" t="s">
        <v>45</v>
      </c>
      <c r="M25" s="7" t="s">
        <v>394</v>
      </c>
      <c r="N25" s="184">
        <f t="shared" si="3"/>
        <v>20633932</v>
      </c>
      <c r="O25" s="7">
        <v>0</v>
      </c>
      <c r="P25" s="7">
        <v>0</v>
      </c>
      <c r="Q25" s="7" t="s">
        <v>123</v>
      </c>
      <c r="R25" s="7" t="s">
        <v>122</v>
      </c>
      <c r="S25" s="120" t="s">
        <v>47</v>
      </c>
      <c r="T25" s="120">
        <v>3846666</v>
      </c>
      <c r="U25" s="94" t="s">
        <v>121</v>
      </c>
      <c r="V25" s="7" t="s">
        <v>120</v>
      </c>
      <c r="W25" s="7" t="s">
        <v>58</v>
      </c>
      <c r="X25" s="7" t="s">
        <v>474</v>
      </c>
      <c r="Y25" s="7"/>
      <c r="Z25" s="7"/>
      <c r="AA25" s="7"/>
      <c r="AB25" s="8">
        <f t="shared" si="0"/>
        <v>20633932</v>
      </c>
      <c r="AC25" s="7"/>
      <c r="AD25" s="7"/>
      <c r="AE25" s="7"/>
      <c r="AF25" s="7"/>
      <c r="AG25" s="7"/>
      <c r="AH25" s="7"/>
      <c r="AI25" s="7"/>
      <c r="AJ25" s="7"/>
      <c r="AK25" s="7"/>
      <c r="AL25" s="7"/>
      <c r="AM25" s="7"/>
    </row>
    <row r="26" spans="1:39" ht="113.25" customHeight="1" x14ac:dyDescent="0.3">
      <c r="A26" s="7" t="s">
        <v>70</v>
      </c>
      <c r="B26" s="88" t="s">
        <v>40</v>
      </c>
      <c r="C26" s="87" t="s">
        <v>71</v>
      </c>
      <c r="D26" s="7" t="s">
        <v>82</v>
      </c>
      <c r="E26" s="7" t="s">
        <v>79</v>
      </c>
      <c r="F26" s="7">
        <v>80111600</v>
      </c>
      <c r="G26" s="7" t="s">
        <v>85</v>
      </c>
      <c r="H26" s="104">
        <v>1</v>
      </c>
      <c r="I26" s="104">
        <v>1</v>
      </c>
      <c r="J26" s="104">
        <v>11</v>
      </c>
      <c r="K26" s="7">
        <v>1</v>
      </c>
      <c r="L26" s="7" t="s">
        <v>45</v>
      </c>
      <c r="M26" s="7" t="s">
        <v>394</v>
      </c>
      <c r="N26" s="184">
        <f>3130298*11</f>
        <v>34433278</v>
      </c>
      <c r="O26" s="7">
        <v>0</v>
      </c>
      <c r="P26" s="7">
        <v>0</v>
      </c>
      <c r="Q26" s="7" t="s">
        <v>123</v>
      </c>
      <c r="R26" s="7" t="s">
        <v>122</v>
      </c>
      <c r="S26" s="120" t="s">
        <v>47</v>
      </c>
      <c r="T26" s="120">
        <v>3846666</v>
      </c>
      <c r="U26" s="94" t="s">
        <v>121</v>
      </c>
      <c r="V26" s="7" t="s">
        <v>120</v>
      </c>
      <c r="W26" s="7" t="s">
        <v>46</v>
      </c>
      <c r="X26" s="7" t="s">
        <v>84</v>
      </c>
      <c r="Y26" s="7"/>
      <c r="Z26" s="7"/>
      <c r="AA26" s="7"/>
      <c r="AB26" s="8">
        <f t="shared" si="0"/>
        <v>34433278</v>
      </c>
      <c r="AC26" s="7"/>
      <c r="AD26" s="7"/>
      <c r="AE26" s="7"/>
      <c r="AF26" s="7"/>
      <c r="AG26" s="7"/>
      <c r="AH26" s="7"/>
      <c r="AI26" s="7"/>
      <c r="AJ26" s="7"/>
      <c r="AK26" s="7"/>
      <c r="AL26" s="7"/>
      <c r="AM26" s="7"/>
    </row>
    <row r="27" spans="1:39" ht="113.25" customHeight="1" x14ac:dyDescent="0.3">
      <c r="A27" s="7" t="s">
        <v>70</v>
      </c>
      <c r="B27" s="88" t="s">
        <v>40</v>
      </c>
      <c r="C27" s="87" t="s">
        <v>71</v>
      </c>
      <c r="D27" s="7" t="s">
        <v>86</v>
      </c>
      <c r="E27" s="7" t="s">
        <v>79</v>
      </c>
      <c r="F27" s="7">
        <v>80111600</v>
      </c>
      <c r="G27" s="7" t="s">
        <v>87</v>
      </c>
      <c r="H27" s="7">
        <v>1</v>
      </c>
      <c r="I27" s="7">
        <v>1</v>
      </c>
      <c r="J27" s="7">
        <v>11</v>
      </c>
      <c r="K27" s="7">
        <v>1</v>
      </c>
      <c r="L27" s="7" t="s">
        <v>45</v>
      </c>
      <c r="M27" s="7" t="s">
        <v>394</v>
      </c>
      <c r="N27" s="184">
        <f>3130298*11</f>
        <v>34433278</v>
      </c>
      <c r="O27" s="7">
        <v>0</v>
      </c>
      <c r="P27" s="7">
        <v>0</v>
      </c>
      <c r="Q27" s="7" t="s">
        <v>123</v>
      </c>
      <c r="R27" s="7" t="s">
        <v>122</v>
      </c>
      <c r="S27" s="120" t="s">
        <v>47</v>
      </c>
      <c r="T27" s="120">
        <v>3846666</v>
      </c>
      <c r="U27" s="94" t="s">
        <v>121</v>
      </c>
      <c r="V27" s="7" t="s">
        <v>120</v>
      </c>
      <c r="W27" s="7" t="s">
        <v>46</v>
      </c>
      <c r="X27" s="7" t="s">
        <v>84</v>
      </c>
      <c r="Y27" s="7"/>
      <c r="Z27" s="7"/>
      <c r="AA27" s="7"/>
      <c r="AB27" s="8">
        <f t="shared" si="0"/>
        <v>34433278</v>
      </c>
      <c r="AC27" s="7"/>
      <c r="AD27" s="7"/>
      <c r="AE27" s="7"/>
      <c r="AF27" s="7"/>
      <c r="AG27" s="7"/>
      <c r="AH27" s="7"/>
      <c r="AI27" s="7"/>
      <c r="AJ27" s="7"/>
      <c r="AK27" s="7"/>
      <c r="AL27" s="7"/>
      <c r="AM27" s="7"/>
    </row>
    <row r="28" spans="1:39" ht="113.25" customHeight="1" x14ac:dyDescent="0.3">
      <c r="A28" s="7" t="s">
        <v>70</v>
      </c>
      <c r="B28" s="88" t="s">
        <v>40</v>
      </c>
      <c r="C28" s="87" t="s">
        <v>71</v>
      </c>
      <c r="D28" s="7" t="s">
        <v>88</v>
      </c>
      <c r="E28" s="7" t="s">
        <v>89</v>
      </c>
      <c r="F28" s="7" t="s">
        <v>422</v>
      </c>
      <c r="G28" s="7" t="s">
        <v>90</v>
      </c>
      <c r="H28" s="84">
        <v>2</v>
      </c>
      <c r="I28" s="7">
        <v>2</v>
      </c>
      <c r="J28" s="7">
        <v>3</v>
      </c>
      <c r="K28" s="7">
        <v>1</v>
      </c>
      <c r="L28" s="7" t="s">
        <v>91</v>
      </c>
      <c r="M28" s="7" t="s">
        <v>394</v>
      </c>
      <c r="N28" s="184">
        <v>90000000</v>
      </c>
      <c r="O28" s="7">
        <v>0</v>
      </c>
      <c r="P28" s="7">
        <v>0</v>
      </c>
      <c r="Q28" s="7" t="s">
        <v>123</v>
      </c>
      <c r="R28" s="7" t="s">
        <v>122</v>
      </c>
      <c r="S28" s="120" t="s">
        <v>47</v>
      </c>
      <c r="T28" s="120">
        <v>3846666</v>
      </c>
      <c r="U28" s="94" t="s">
        <v>121</v>
      </c>
      <c r="V28" s="7" t="s">
        <v>120</v>
      </c>
      <c r="W28" s="7" t="s">
        <v>92</v>
      </c>
      <c r="X28" s="7" t="s">
        <v>404</v>
      </c>
      <c r="Y28" s="7"/>
      <c r="Z28" s="7"/>
      <c r="AA28" s="7"/>
      <c r="AB28" s="8">
        <f t="shared" si="0"/>
        <v>90000000</v>
      </c>
      <c r="AC28" s="7"/>
      <c r="AD28" s="7"/>
      <c r="AE28" s="7"/>
      <c r="AF28" s="7"/>
      <c r="AG28" s="7"/>
      <c r="AH28" s="7"/>
      <c r="AI28" s="7"/>
      <c r="AJ28" s="7"/>
      <c r="AK28" s="7"/>
      <c r="AL28" s="7"/>
      <c r="AM28" s="7"/>
    </row>
    <row r="29" spans="1:39" ht="113.25" customHeight="1" x14ac:dyDescent="0.3">
      <c r="A29" s="7" t="s">
        <v>70</v>
      </c>
      <c r="B29" s="88" t="s">
        <v>40</v>
      </c>
      <c r="C29" s="87" t="s">
        <v>71</v>
      </c>
      <c r="D29" s="7" t="s">
        <v>88</v>
      </c>
      <c r="E29" s="7" t="s">
        <v>89</v>
      </c>
      <c r="F29" s="7" t="s">
        <v>422</v>
      </c>
      <c r="G29" s="7" t="s">
        <v>90</v>
      </c>
      <c r="H29" s="84">
        <v>2</v>
      </c>
      <c r="I29" s="7">
        <v>2</v>
      </c>
      <c r="J29" s="7">
        <v>3</v>
      </c>
      <c r="K29" s="7">
        <v>1</v>
      </c>
      <c r="L29" s="7" t="s">
        <v>91</v>
      </c>
      <c r="M29" s="7" t="s">
        <v>410</v>
      </c>
      <c r="N29" s="184">
        <v>30000000</v>
      </c>
      <c r="O29" s="7">
        <v>0</v>
      </c>
      <c r="P29" s="7">
        <v>0</v>
      </c>
      <c r="Q29" s="7" t="s">
        <v>123</v>
      </c>
      <c r="R29" s="7" t="s">
        <v>122</v>
      </c>
      <c r="S29" s="120" t="s">
        <v>47</v>
      </c>
      <c r="T29" s="120">
        <v>3846666</v>
      </c>
      <c r="U29" s="94" t="s">
        <v>121</v>
      </c>
      <c r="V29" s="7" t="s">
        <v>120</v>
      </c>
      <c r="W29" s="7" t="s">
        <v>92</v>
      </c>
      <c r="X29" s="7" t="s">
        <v>404</v>
      </c>
      <c r="Y29" s="7"/>
      <c r="Z29" s="7"/>
      <c r="AA29" s="7"/>
      <c r="AB29" s="8">
        <f t="shared" si="0"/>
        <v>30000000</v>
      </c>
      <c r="AC29" s="7"/>
      <c r="AD29" s="7"/>
      <c r="AE29" s="7"/>
      <c r="AF29" s="7"/>
      <c r="AG29" s="7"/>
      <c r="AH29" s="7"/>
      <c r="AI29" s="7"/>
      <c r="AJ29" s="7"/>
      <c r="AK29" s="7"/>
      <c r="AL29" s="7"/>
      <c r="AM29" s="7"/>
    </row>
    <row r="30" spans="1:39" ht="113.25" customHeight="1" x14ac:dyDescent="0.3">
      <c r="A30" s="7" t="s">
        <v>70</v>
      </c>
      <c r="B30" s="88" t="s">
        <v>40</v>
      </c>
      <c r="C30" s="87" t="s">
        <v>71</v>
      </c>
      <c r="D30" s="7" t="s">
        <v>93</v>
      </c>
      <c r="E30" s="7" t="s">
        <v>89</v>
      </c>
      <c r="F30" s="7">
        <v>82121901</v>
      </c>
      <c r="G30" s="7" t="s">
        <v>94</v>
      </c>
      <c r="H30" s="7">
        <v>1</v>
      </c>
      <c r="I30" s="7">
        <v>1</v>
      </c>
      <c r="J30" s="7" t="s">
        <v>459</v>
      </c>
      <c r="K30" s="7">
        <v>0</v>
      </c>
      <c r="L30" s="7" t="s">
        <v>45</v>
      </c>
      <c r="M30" s="7" t="s">
        <v>394</v>
      </c>
      <c r="N30" s="184">
        <f>2496000*11.5</f>
        <v>28704000</v>
      </c>
      <c r="O30" s="7">
        <v>0</v>
      </c>
      <c r="P30" s="7">
        <v>0</v>
      </c>
      <c r="Q30" s="7" t="s">
        <v>123</v>
      </c>
      <c r="R30" s="7" t="s">
        <v>122</v>
      </c>
      <c r="S30" s="120" t="s">
        <v>47</v>
      </c>
      <c r="T30" s="120">
        <v>3846666</v>
      </c>
      <c r="U30" s="94" t="s">
        <v>121</v>
      </c>
      <c r="V30" s="7" t="s">
        <v>120</v>
      </c>
      <c r="W30" s="7" t="s">
        <v>58</v>
      </c>
      <c r="X30" s="7" t="s">
        <v>405</v>
      </c>
      <c r="Y30" s="7"/>
      <c r="Z30" s="7"/>
      <c r="AA30" s="7"/>
      <c r="AB30" s="8">
        <f t="shared" si="0"/>
        <v>28704000</v>
      </c>
      <c r="AC30" s="7"/>
      <c r="AD30" s="7"/>
      <c r="AE30" s="7"/>
      <c r="AF30" s="7"/>
      <c r="AG30" s="7"/>
      <c r="AH30" s="7"/>
      <c r="AI30" s="7"/>
      <c r="AJ30" s="7"/>
      <c r="AK30" s="7"/>
      <c r="AL30" s="7"/>
      <c r="AM30" s="7"/>
    </row>
    <row r="31" spans="1:39" ht="113.25" customHeight="1" x14ac:dyDescent="0.3">
      <c r="A31" s="7" t="s">
        <v>70</v>
      </c>
      <c r="B31" s="88" t="s">
        <v>40</v>
      </c>
      <c r="C31" s="87" t="s">
        <v>71</v>
      </c>
      <c r="D31" s="7" t="s">
        <v>93</v>
      </c>
      <c r="E31" s="7" t="s">
        <v>89</v>
      </c>
      <c r="F31" s="7">
        <v>82121901</v>
      </c>
      <c r="G31" s="7" t="s">
        <v>95</v>
      </c>
      <c r="H31" s="7">
        <v>1</v>
      </c>
      <c r="I31" s="7">
        <v>1</v>
      </c>
      <c r="J31" s="7" t="s">
        <v>459</v>
      </c>
      <c r="K31" s="7">
        <v>0</v>
      </c>
      <c r="L31" s="7" t="s">
        <v>45</v>
      </c>
      <c r="M31" s="7" t="s">
        <v>394</v>
      </c>
      <c r="N31" s="184">
        <f>2496000*11.5</f>
        <v>28704000</v>
      </c>
      <c r="O31" s="7">
        <v>0</v>
      </c>
      <c r="P31" s="7">
        <v>0</v>
      </c>
      <c r="Q31" s="7" t="s">
        <v>123</v>
      </c>
      <c r="R31" s="7" t="s">
        <v>122</v>
      </c>
      <c r="S31" s="120" t="s">
        <v>47</v>
      </c>
      <c r="T31" s="120">
        <v>3846666</v>
      </c>
      <c r="U31" s="94" t="s">
        <v>121</v>
      </c>
      <c r="V31" s="7" t="s">
        <v>120</v>
      </c>
      <c r="W31" s="7" t="s">
        <v>58</v>
      </c>
      <c r="X31" s="7" t="s">
        <v>405</v>
      </c>
      <c r="Y31" s="7"/>
      <c r="Z31" s="7"/>
      <c r="AA31" s="7"/>
      <c r="AB31" s="8">
        <f t="shared" si="0"/>
        <v>28704000</v>
      </c>
      <c r="AC31" s="7"/>
      <c r="AD31" s="7"/>
      <c r="AE31" s="7"/>
      <c r="AF31" s="7"/>
      <c r="AG31" s="7"/>
      <c r="AH31" s="7"/>
      <c r="AI31" s="7"/>
      <c r="AJ31" s="7"/>
      <c r="AK31" s="7"/>
      <c r="AL31" s="7"/>
      <c r="AM31" s="7"/>
    </row>
    <row r="32" spans="1:39" ht="113.25" customHeight="1" x14ac:dyDescent="0.3">
      <c r="A32" s="7" t="s">
        <v>70</v>
      </c>
      <c r="B32" s="88" t="s">
        <v>40</v>
      </c>
      <c r="C32" s="87" t="s">
        <v>71</v>
      </c>
      <c r="D32" s="7" t="s">
        <v>93</v>
      </c>
      <c r="E32" s="7" t="s">
        <v>89</v>
      </c>
      <c r="F32" s="7">
        <v>82121901</v>
      </c>
      <c r="G32" s="7" t="s">
        <v>96</v>
      </c>
      <c r="H32" s="7">
        <v>1</v>
      </c>
      <c r="I32" s="7">
        <v>1</v>
      </c>
      <c r="J32" s="7">
        <v>11</v>
      </c>
      <c r="K32" s="7">
        <v>1</v>
      </c>
      <c r="L32" s="7" t="s">
        <v>45</v>
      </c>
      <c r="M32" s="7" t="s">
        <v>394</v>
      </c>
      <c r="N32" s="184">
        <f>1600000*11</f>
        <v>17600000</v>
      </c>
      <c r="O32" s="7">
        <v>0</v>
      </c>
      <c r="P32" s="7">
        <v>0</v>
      </c>
      <c r="Q32" s="7" t="s">
        <v>123</v>
      </c>
      <c r="R32" s="7" t="s">
        <v>122</v>
      </c>
      <c r="S32" s="120" t="s">
        <v>47</v>
      </c>
      <c r="T32" s="120">
        <v>3846666</v>
      </c>
      <c r="U32" s="94" t="s">
        <v>121</v>
      </c>
      <c r="V32" s="7" t="s">
        <v>120</v>
      </c>
      <c r="W32" s="7" t="s">
        <v>58</v>
      </c>
      <c r="X32" s="7" t="s">
        <v>405</v>
      </c>
      <c r="Y32" s="7"/>
      <c r="Z32" s="7"/>
      <c r="AA32" s="7"/>
      <c r="AB32" s="8">
        <f t="shared" si="0"/>
        <v>17600000</v>
      </c>
      <c r="AC32" s="7"/>
      <c r="AD32" s="7"/>
      <c r="AE32" s="7"/>
      <c r="AF32" s="7"/>
      <c r="AG32" s="7"/>
      <c r="AH32" s="7"/>
      <c r="AI32" s="7"/>
      <c r="AJ32" s="7"/>
      <c r="AK32" s="7"/>
      <c r="AL32" s="7"/>
      <c r="AM32" s="7"/>
    </row>
    <row r="33" spans="1:39" ht="113.25" customHeight="1" x14ac:dyDescent="0.3">
      <c r="A33" s="7" t="s">
        <v>70</v>
      </c>
      <c r="B33" s="88" t="s">
        <v>40</v>
      </c>
      <c r="C33" s="87" t="s">
        <v>71</v>
      </c>
      <c r="D33" s="7" t="s">
        <v>93</v>
      </c>
      <c r="E33" s="7" t="s">
        <v>89</v>
      </c>
      <c r="F33" s="7" t="s">
        <v>423</v>
      </c>
      <c r="G33" s="7" t="s">
        <v>97</v>
      </c>
      <c r="H33" s="7">
        <v>1</v>
      </c>
      <c r="I33" s="7">
        <v>1</v>
      </c>
      <c r="J33" s="7" t="s">
        <v>459</v>
      </c>
      <c r="K33" s="7">
        <v>0</v>
      </c>
      <c r="L33" s="7" t="s">
        <v>45</v>
      </c>
      <c r="M33" s="7" t="s">
        <v>394</v>
      </c>
      <c r="N33" s="184">
        <f>3130298*11.5</f>
        <v>35998427</v>
      </c>
      <c r="O33" s="7">
        <v>0</v>
      </c>
      <c r="P33" s="7">
        <v>0</v>
      </c>
      <c r="Q33" s="7" t="s">
        <v>123</v>
      </c>
      <c r="R33" s="7" t="s">
        <v>122</v>
      </c>
      <c r="S33" s="120" t="s">
        <v>47</v>
      </c>
      <c r="T33" s="120">
        <v>3846666</v>
      </c>
      <c r="U33" s="94" t="s">
        <v>121</v>
      </c>
      <c r="V33" s="7" t="s">
        <v>120</v>
      </c>
      <c r="W33" s="7" t="s">
        <v>46</v>
      </c>
      <c r="X33" s="7" t="s">
        <v>405</v>
      </c>
      <c r="Y33" s="7"/>
      <c r="Z33" s="7"/>
      <c r="AA33" s="7"/>
      <c r="AB33" s="8">
        <f t="shared" si="0"/>
        <v>35998427</v>
      </c>
      <c r="AC33" s="7"/>
      <c r="AD33" s="7"/>
      <c r="AE33" s="7"/>
      <c r="AF33" s="7"/>
      <c r="AG33" s="7"/>
      <c r="AH33" s="7"/>
      <c r="AI33" s="7"/>
      <c r="AJ33" s="7"/>
      <c r="AK33" s="7"/>
      <c r="AL33" s="7"/>
      <c r="AM33" s="7"/>
    </row>
    <row r="34" spans="1:39" ht="113.25" customHeight="1" x14ac:dyDescent="0.3">
      <c r="A34" s="7" t="s">
        <v>70</v>
      </c>
      <c r="B34" s="88" t="s">
        <v>40</v>
      </c>
      <c r="C34" s="87" t="s">
        <v>71</v>
      </c>
      <c r="D34" s="7" t="s">
        <v>93</v>
      </c>
      <c r="E34" s="7" t="s">
        <v>89</v>
      </c>
      <c r="F34" s="7" t="s">
        <v>424</v>
      </c>
      <c r="G34" s="7" t="s">
        <v>98</v>
      </c>
      <c r="H34" s="7">
        <v>1</v>
      </c>
      <c r="I34" s="7">
        <v>1</v>
      </c>
      <c r="J34" s="7">
        <v>11</v>
      </c>
      <c r="K34" s="7">
        <v>1</v>
      </c>
      <c r="L34" s="7" t="s">
        <v>45</v>
      </c>
      <c r="M34" s="7" t="s">
        <v>394</v>
      </c>
      <c r="N34" s="184">
        <f>2550000*11</f>
        <v>28050000</v>
      </c>
      <c r="O34" s="7">
        <v>0</v>
      </c>
      <c r="P34" s="7">
        <v>0</v>
      </c>
      <c r="Q34" s="7" t="s">
        <v>123</v>
      </c>
      <c r="R34" s="7" t="s">
        <v>122</v>
      </c>
      <c r="S34" s="120" t="s">
        <v>47</v>
      </c>
      <c r="T34" s="120">
        <v>3846666</v>
      </c>
      <c r="U34" s="94" t="s">
        <v>121</v>
      </c>
      <c r="V34" s="7" t="s">
        <v>120</v>
      </c>
      <c r="W34" s="7" t="s">
        <v>58</v>
      </c>
      <c r="X34" s="7" t="s">
        <v>405</v>
      </c>
      <c r="Y34" s="7"/>
      <c r="Z34" s="7"/>
      <c r="AA34" s="7"/>
      <c r="AB34" s="8">
        <f t="shared" si="0"/>
        <v>28050000</v>
      </c>
      <c r="AC34" s="7"/>
      <c r="AD34" s="7"/>
      <c r="AE34" s="7"/>
      <c r="AF34" s="7"/>
      <c r="AG34" s="7"/>
      <c r="AH34" s="7"/>
      <c r="AI34" s="7"/>
      <c r="AJ34" s="7"/>
      <c r="AK34" s="7"/>
      <c r="AL34" s="7"/>
      <c r="AM34" s="7"/>
    </row>
    <row r="35" spans="1:39" ht="113.25" customHeight="1" x14ac:dyDescent="0.3">
      <c r="A35" s="7" t="s">
        <v>70</v>
      </c>
      <c r="B35" s="88" t="s">
        <v>40</v>
      </c>
      <c r="C35" s="87" t="s">
        <v>71</v>
      </c>
      <c r="D35" s="7" t="s">
        <v>93</v>
      </c>
      <c r="E35" s="7" t="s">
        <v>89</v>
      </c>
      <c r="F35" s="7" t="s">
        <v>424</v>
      </c>
      <c r="G35" s="7" t="s">
        <v>99</v>
      </c>
      <c r="H35" s="7">
        <v>1</v>
      </c>
      <c r="I35" s="7">
        <v>1</v>
      </c>
      <c r="J35" s="7" t="s">
        <v>459</v>
      </c>
      <c r="K35" s="7">
        <v>0</v>
      </c>
      <c r="L35" s="7" t="s">
        <v>45</v>
      </c>
      <c r="M35" s="7" t="s">
        <v>394</v>
      </c>
      <c r="N35" s="184">
        <f>3031580*11.5</f>
        <v>34863170</v>
      </c>
      <c r="O35" s="7">
        <v>0</v>
      </c>
      <c r="P35" s="7">
        <v>0</v>
      </c>
      <c r="Q35" s="7" t="s">
        <v>123</v>
      </c>
      <c r="R35" s="7" t="s">
        <v>122</v>
      </c>
      <c r="S35" s="120" t="s">
        <v>47</v>
      </c>
      <c r="T35" s="120">
        <v>3846666</v>
      </c>
      <c r="U35" s="94" t="s">
        <v>121</v>
      </c>
      <c r="V35" s="7" t="s">
        <v>120</v>
      </c>
      <c r="W35" s="7" t="s">
        <v>46</v>
      </c>
      <c r="X35" s="7" t="s">
        <v>405</v>
      </c>
      <c r="Y35" s="7"/>
      <c r="Z35" s="7"/>
      <c r="AA35" s="7"/>
      <c r="AB35" s="8">
        <f t="shared" ref="AB35:AB68" si="4">+N35+Y35+Z35-AA35</f>
        <v>34863170</v>
      </c>
      <c r="AC35" s="7"/>
      <c r="AD35" s="7"/>
      <c r="AE35" s="7"/>
      <c r="AF35" s="7"/>
      <c r="AG35" s="7"/>
      <c r="AH35" s="7"/>
      <c r="AI35" s="7"/>
      <c r="AJ35" s="7"/>
      <c r="AK35" s="7"/>
      <c r="AL35" s="7"/>
      <c r="AM35" s="7"/>
    </row>
    <row r="36" spans="1:39" ht="113.25" customHeight="1" x14ac:dyDescent="0.3">
      <c r="A36" s="7" t="s">
        <v>70</v>
      </c>
      <c r="B36" s="88" t="s">
        <v>40</v>
      </c>
      <c r="C36" s="87" t="s">
        <v>71</v>
      </c>
      <c r="D36" s="7" t="s">
        <v>93</v>
      </c>
      <c r="E36" s="7" t="s">
        <v>89</v>
      </c>
      <c r="F36" s="7">
        <v>82121901</v>
      </c>
      <c r="G36" s="7" t="s">
        <v>240</v>
      </c>
      <c r="H36" s="7">
        <v>7</v>
      </c>
      <c r="I36" s="7">
        <v>7</v>
      </c>
      <c r="J36" s="7">
        <v>1</v>
      </c>
      <c r="K36" s="7">
        <v>1</v>
      </c>
      <c r="L36" s="7" t="s">
        <v>45</v>
      </c>
      <c r="M36" s="7" t="s">
        <v>394</v>
      </c>
      <c r="N36" s="184">
        <f>1600000*6</f>
        <v>9600000</v>
      </c>
      <c r="O36" s="7">
        <v>0</v>
      </c>
      <c r="P36" s="7">
        <v>0</v>
      </c>
      <c r="Q36" s="7" t="s">
        <v>123</v>
      </c>
      <c r="R36" s="7" t="s">
        <v>122</v>
      </c>
      <c r="S36" s="120" t="s">
        <v>47</v>
      </c>
      <c r="T36" s="120">
        <v>3846666</v>
      </c>
      <c r="U36" s="94" t="s">
        <v>121</v>
      </c>
      <c r="V36" s="7" t="s">
        <v>120</v>
      </c>
      <c r="W36" s="7" t="s">
        <v>58</v>
      </c>
      <c r="X36" s="7" t="s">
        <v>405</v>
      </c>
      <c r="Y36" s="7"/>
      <c r="Z36" s="7"/>
      <c r="AA36" s="7"/>
      <c r="AB36" s="8">
        <f t="shared" si="4"/>
        <v>9600000</v>
      </c>
      <c r="AC36" s="7"/>
      <c r="AD36" s="7"/>
      <c r="AE36" s="7"/>
      <c r="AF36" s="7"/>
      <c r="AG36" s="7"/>
      <c r="AH36" s="7"/>
      <c r="AI36" s="7"/>
      <c r="AJ36" s="7"/>
      <c r="AK36" s="7"/>
      <c r="AL36" s="7"/>
      <c r="AM36" s="7"/>
    </row>
    <row r="37" spans="1:39" ht="113.25" customHeight="1" x14ac:dyDescent="0.3">
      <c r="A37" s="7" t="s">
        <v>70</v>
      </c>
      <c r="B37" s="88" t="s">
        <v>40</v>
      </c>
      <c r="C37" s="87" t="s">
        <v>71</v>
      </c>
      <c r="D37" s="7" t="s">
        <v>93</v>
      </c>
      <c r="E37" s="7" t="s">
        <v>89</v>
      </c>
      <c r="F37" s="7">
        <v>14121904</v>
      </c>
      <c r="G37" s="7" t="s">
        <v>100</v>
      </c>
      <c r="H37" s="7">
        <v>6</v>
      </c>
      <c r="I37" s="7">
        <v>7</v>
      </c>
      <c r="J37" s="7">
        <v>3</v>
      </c>
      <c r="K37" s="7">
        <v>1</v>
      </c>
      <c r="L37" s="7" t="s">
        <v>91</v>
      </c>
      <c r="M37" s="7" t="s">
        <v>394</v>
      </c>
      <c r="N37" s="184">
        <f>50591634-21700000</f>
        <v>28891634</v>
      </c>
      <c r="O37" s="7">
        <v>0</v>
      </c>
      <c r="P37" s="7">
        <v>0</v>
      </c>
      <c r="Q37" s="7" t="s">
        <v>123</v>
      </c>
      <c r="R37" s="7" t="s">
        <v>122</v>
      </c>
      <c r="S37" s="120" t="s">
        <v>47</v>
      </c>
      <c r="T37" s="120">
        <v>3846666</v>
      </c>
      <c r="U37" s="94" t="s">
        <v>121</v>
      </c>
      <c r="V37" s="7" t="s">
        <v>120</v>
      </c>
      <c r="W37" s="7" t="s">
        <v>92</v>
      </c>
      <c r="X37" s="7" t="s">
        <v>405</v>
      </c>
      <c r="Y37" s="7"/>
      <c r="Z37" s="7"/>
      <c r="AA37" s="7"/>
      <c r="AB37" s="8">
        <f t="shared" si="4"/>
        <v>28891634</v>
      </c>
      <c r="AC37" s="7"/>
      <c r="AD37" s="7"/>
      <c r="AE37" s="7"/>
      <c r="AF37" s="7"/>
      <c r="AG37" s="7"/>
      <c r="AH37" s="7"/>
      <c r="AI37" s="7"/>
      <c r="AJ37" s="7"/>
      <c r="AK37" s="7"/>
      <c r="AL37" s="7"/>
      <c r="AM37" s="7"/>
    </row>
    <row r="38" spans="1:39" ht="113.25" customHeight="1" x14ac:dyDescent="0.3">
      <c r="A38" s="7" t="s">
        <v>70</v>
      </c>
      <c r="B38" s="88" t="s">
        <v>40</v>
      </c>
      <c r="C38" s="87" t="s">
        <v>71</v>
      </c>
      <c r="D38" s="7" t="s">
        <v>93</v>
      </c>
      <c r="E38" s="7" t="s">
        <v>89</v>
      </c>
      <c r="F38" s="7" t="s">
        <v>425</v>
      </c>
      <c r="G38" s="7" t="s">
        <v>101</v>
      </c>
      <c r="H38" s="7">
        <v>2</v>
      </c>
      <c r="I38" s="7">
        <v>2</v>
      </c>
      <c r="J38" s="7">
        <v>2</v>
      </c>
      <c r="K38" s="7">
        <v>1</v>
      </c>
      <c r="L38" s="7" t="s">
        <v>91</v>
      </c>
      <c r="M38" s="7" t="s">
        <v>394</v>
      </c>
      <c r="N38" s="184">
        <v>45000000</v>
      </c>
      <c r="O38" s="7">
        <v>0</v>
      </c>
      <c r="P38" s="7">
        <v>0</v>
      </c>
      <c r="Q38" s="7" t="s">
        <v>123</v>
      </c>
      <c r="R38" s="7" t="s">
        <v>122</v>
      </c>
      <c r="S38" s="120" t="s">
        <v>47</v>
      </c>
      <c r="T38" s="120">
        <v>3846666</v>
      </c>
      <c r="U38" s="94" t="s">
        <v>121</v>
      </c>
      <c r="V38" s="7" t="s">
        <v>120</v>
      </c>
      <c r="W38" s="7" t="s">
        <v>92</v>
      </c>
      <c r="X38" s="7" t="s">
        <v>405</v>
      </c>
      <c r="Y38" s="7"/>
      <c r="Z38" s="7"/>
      <c r="AA38" s="7"/>
      <c r="AB38" s="8">
        <f t="shared" si="4"/>
        <v>45000000</v>
      </c>
      <c r="AC38" s="7"/>
      <c r="AD38" s="7"/>
      <c r="AE38" s="7"/>
      <c r="AF38" s="7"/>
      <c r="AG38" s="7"/>
      <c r="AH38" s="7"/>
      <c r="AI38" s="7"/>
      <c r="AJ38" s="7"/>
      <c r="AK38" s="7"/>
      <c r="AL38" s="7"/>
      <c r="AM38" s="7"/>
    </row>
    <row r="39" spans="1:39" ht="113.25" customHeight="1" x14ac:dyDescent="0.3">
      <c r="A39" s="7" t="s">
        <v>70</v>
      </c>
      <c r="B39" s="88" t="s">
        <v>40</v>
      </c>
      <c r="C39" s="87" t="s">
        <v>71</v>
      </c>
      <c r="D39" s="7" t="s">
        <v>93</v>
      </c>
      <c r="E39" s="7" t="s">
        <v>89</v>
      </c>
      <c r="F39" s="7" t="s">
        <v>426</v>
      </c>
      <c r="G39" s="7" t="s">
        <v>102</v>
      </c>
      <c r="H39" s="7">
        <v>2</v>
      </c>
      <c r="I39" s="7">
        <v>2</v>
      </c>
      <c r="J39" s="7">
        <v>10</v>
      </c>
      <c r="K39" s="7">
        <v>1</v>
      </c>
      <c r="L39" s="7" t="s">
        <v>455</v>
      </c>
      <c r="M39" s="7" t="s">
        <v>394</v>
      </c>
      <c r="N39" s="184">
        <v>4000000</v>
      </c>
      <c r="O39" s="7">
        <v>0</v>
      </c>
      <c r="P39" s="7">
        <v>0</v>
      </c>
      <c r="Q39" s="7" t="s">
        <v>123</v>
      </c>
      <c r="R39" s="7" t="s">
        <v>122</v>
      </c>
      <c r="S39" s="120" t="s">
        <v>47</v>
      </c>
      <c r="T39" s="120">
        <v>3846666</v>
      </c>
      <c r="U39" s="94" t="s">
        <v>121</v>
      </c>
      <c r="V39" s="7" t="s">
        <v>120</v>
      </c>
      <c r="W39" s="7" t="s">
        <v>65</v>
      </c>
      <c r="X39" s="7" t="s">
        <v>405</v>
      </c>
      <c r="Y39" s="7"/>
      <c r="Z39" s="7"/>
      <c r="AA39" s="7"/>
      <c r="AB39" s="8">
        <f t="shared" si="4"/>
        <v>4000000</v>
      </c>
      <c r="AC39" s="7"/>
      <c r="AD39" s="7"/>
      <c r="AE39" s="7"/>
      <c r="AF39" s="7"/>
      <c r="AG39" s="7"/>
      <c r="AH39" s="7"/>
      <c r="AI39" s="7"/>
      <c r="AJ39" s="7"/>
      <c r="AK39" s="7"/>
      <c r="AL39" s="7"/>
      <c r="AM39" s="7"/>
    </row>
    <row r="40" spans="1:39" ht="113.25" customHeight="1" x14ac:dyDescent="0.3">
      <c r="A40" s="7" t="s">
        <v>70</v>
      </c>
      <c r="B40" s="88" t="s">
        <v>40</v>
      </c>
      <c r="C40" s="87" t="s">
        <v>71</v>
      </c>
      <c r="D40" s="7" t="s">
        <v>93</v>
      </c>
      <c r="E40" s="7" t="s">
        <v>89</v>
      </c>
      <c r="F40" s="7" t="s">
        <v>428</v>
      </c>
      <c r="G40" s="7" t="s">
        <v>103</v>
      </c>
      <c r="H40" s="7">
        <v>6</v>
      </c>
      <c r="I40" s="7">
        <v>7</v>
      </c>
      <c r="J40" s="7">
        <v>5</v>
      </c>
      <c r="K40" s="7">
        <v>1</v>
      </c>
      <c r="L40" s="7" t="s">
        <v>45</v>
      </c>
      <c r="M40" s="7" t="s">
        <v>394</v>
      </c>
      <c r="N40" s="184">
        <f>52000000-7094336</f>
        <v>44905664</v>
      </c>
      <c r="O40" s="7">
        <v>0</v>
      </c>
      <c r="P40" s="7">
        <v>0</v>
      </c>
      <c r="Q40" s="7" t="s">
        <v>123</v>
      </c>
      <c r="R40" s="7" t="s">
        <v>122</v>
      </c>
      <c r="S40" s="120" t="s">
        <v>47</v>
      </c>
      <c r="T40" s="120">
        <v>3846666</v>
      </c>
      <c r="U40" s="94" t="s">
        <v>121</v>
      </c>
      <c r="V40" s="7" t="s">
        <v>120</v>
      </c>
      <c r="W40" s="7" t="s">
        <v>65</v>
      </c>
      <c r="X40" s="7" t="s">
        <v>405</v>
      </c>
      <c r="Y40" s="7"/>
      <c r="Z40" s="7"/>
      <c r="AA40" s="7"/>
      <c r="AB40" s="8">
        <f t="shared" si="4"/>
        <v>44905664</v>
      </c>
      <c r="AC40" s="7"/>
      <c r="AD40" s="7"/>
      <c r="AE40" s="7"/>
      <c r="AF40" s="7"/>
      <c r="AG40" s="7"/>
      <c r="AH40" s="7"/>
      <c r="AI40" s="7"/>
      <c r="AJ40" s="7"/>
      <c r="AK40" s="7"/>
      <c r="AL40" s="7"/>
      <c r="AM40" s="7"/>
    </row>
    <row r="41" spans="1:39" ht="113.25" customHeight="1" x14ac:dyDescent="0.3">
      <c r="A41" s="7" t="s">
        <v>70</v>
      </c>
      <c r="B41" s="88" t="s">
        <v>40</v>
      </c>
      <c r="C41" s="87" t="s">
        <v>71</v>
      </c>
      <c r="D41" s="7" t="s">
        <v>93</v>
      </c>
      <c r="E41" s="7" t="s">
        <v>89</v>
      </c>
      <c r="F41" s="7" t="s">
        <v>427</v>
      </c>
      <c r="G41" s="7" t="s">
        <v>103</v>
      </c>
      <c r="H41" s="7">
        <v>6</v>
      </c>
      <c r="I41" s="7">
        <v>7</v>
      </c>
      <c r="J41" s="7">
        <v>5</v>
      </c>
      <c r="K41" s="7">
        <v>1</v>
      </c>
      <c r="L41" s="7" t="s">
        <v>45</v>
      </c>
      <c r="M41" s="7" t="s">
        <v>410</v>
      </c>
      <c r="N41" s="184">
        <v>7094336</v>
      </c>
      <c r="O41" s="7">
        <v>0</v>
      </c>
      <c r="P41" s="7">
        <v>0</v>
      </c>
      <c r="Q41" s="7" t="s">
        <v>123</v>
      </c>
      <c r="R41" s="7" t="s">
        <v>122</v>
      </c>
      <c r="S41" s="120" t="s">
        <v>47</v>
      </c>
      <c r="T41" s="120">
        <v>3846666</v>
      </c>
      <c r="U41" s="94" t="s">
        <v>121</v>
      </c>
      <c r="V41" s="7" t="s">
        <v>120</v>
      </c>
      <c r="W41" s="7" t="s">
        <v>65</v>
      </c>
      <c r="X41" s="7" t="s">
        <v>405</v>
      </c>
      <c r="Y41" s="7"/>
      <c r="Z41" s="7"/>
      <c r="AA41" s="7"/>
      <c r="AB41" s="8">
        <f t="shared" si="4"/>
        <v>7094336</v>
      </c>
      <c r="AC41" s="7"/>
      <c r="AD41" s="7"/>
      <c r="AE41" s="7"/>
      <c r="AF41" s="7"/>
      <c r="AG41" s="7"/>
      <c r="AH41" s="7"/>
      <c r="AI41" s="7"/>
      <c r="AJ41" s="7"/>
      <c r="AK41" s="7"/>
      <c r="AL41" s="7"/>
      <c r="AM41" s="7"/>
    </row>
    <row r="42" spans="1:39" ht="113.25" customHeight="1" x14ac:dyDescent="0.3">
      <c r="A42" s="7" t="s">
        <v>70</v>
      </c>
      <c r="B42" s="88" t="s">
        <v>40</v>
      </c>
      <c r="C42" s="87" t="s">
        <v>71</v>
      </c>
      <c r="D42" s="7" t="s">
        <v>93</v>
      </c>
      <c r="E42" s="7" t="s">
        <v>89</v>
      </c>
      <c r="F42" s="7" t="s">
        <v>427</v>
      </c>
      <c r="G42" s="7" t="s">
        <v>104</v>
      </c>
      <c r="H42" s="7">
        <v>2</v>
      </c>
      <c r="I42" s="7">
        <v>3</v>
      </c>
      <c r="J42" s="7">
        <v>8</v>
      </c>
      <c r="K42" s="7">
        <v>1</v>
      </c>
      <c r="L42" s="7" t="s">
        <v>455</v>
      </c>
      <c r="M42" s="7" t="s">
        <v>394</v>
      </c>
      <c r="N42" s="184">
        <v>18000000</v>
      </c>
      <c r="O42" s="7">
        <v>0</v>
      </c>
      <c r="P42" s="7">
        <v>0</v>
      </c>
      <c r="Q42" s="7" t="s">
        <v>123</v>
      </c>
      <c r="R42" s="7" t="s">
        <v>122</v>
      </c>
      <c r="S42" s="120" t="s">
        <v>47</v>
      </c>
      <c r="T42" s="120">
        <v>3846666</v>
      </c>
      <c r="U42" s="94" t="s">
        <v>121</v>
      </c>
      <c r="V42" s="7" t="s">
        <v>120</v>
      </c>
      <c r="W42" s="7" t="s">
        <v>65</v>
      </c>
      <c r="X42" s="7" t="s">
        <v>405</v>
      </c>
      <c r="Y42" s="7"/>
      <c r="Z42" s="7"/>
      <c r="AA42" s="7"/>
      <c r="AB42" s="8">
        <f t="shared" si="4"/>
        <v>18000000</v>
      </c>
      <c r="AC42" s="7"/>
      <c r="AD42" s="7"/>
      <c r="AE42" s="7"/>
      <c r="AF42" s="7"/>
      <c r="AG42" s="7"/>
      <c r="AH42" s="7"/>
      <c r="AI42" s="7"/>
      <c r="AJ42" s="7"/>
      <c r="AK42" s="7"/>
      <c r="AL42" s="7"/>
      <c r="AM42" s="7"/>
    </row>
    <row r="43" spans="1:39" ht="113.25" customHeight="1" x14ac:dyDescent="0.3">
      <c r="A43" s="7" t="s">
        <v>70</v>
      </c>
      <c r="B43" s="88" t="s">
        <v>40</v>
      </c>
      <c r="C43" s="87" t="s">
        <v>71</v>
      </c>
      <c r="D43" s="7" t="s">
        <v>93</v>
      </c>
      <c r="E43" s="7" t="s">
        <v>89</v>
      </c>
      <c r="F43" s="7" t="s">
        <v>427</v>
      </c>
      <c r="G43" s="7" t="s">
        <v>105</v>
      </c>
      <c r="H43" s="7">
        <v>2</v>
      </c>
      <c r="I43" s="7">
        <v>3</v>
      </c>
      <c r="J43" s="7">
        <v>8</v>
      </c>
      <c r="K43" s="7">
        <v>1</v>
      </c>
      <c r="L43" s="7" t="s">
        <v>455</v>
      </c>
      <c r="M43" s="7" t="s">
        <v>394</v>
      </c>
      <c r="N43" s="184">
        <v>14000000</v>
      </c>
      <c r="O43" s="7">
        <v>0</v>
      </c>
      <c r="P43" s="7">
        <v>0</v>
      </c>
      <c r="Q43" s="7" t="s">
        <v>123</v>
      </c>
      <c r="R43" s="7" t="s">
        <v>122</v>
      </c>
      <c r="S43" s="120" t="s">
        <v>47</v>
      </c>
      <c r="T43" s="120">
        <v>3846666</v>
      </c>
      <c r="U43" s="94" t="s">
        <v>121</v>
      </c>
      <c r="V43" s="7" t="s">
        <v>120</v>
      </c>
      <c r="W43" s="7" t="s">
        <v>65</v>
      </c>
      <c r="X43" s="7" t="s">
        <v>405</v>
      </c>
      <c r="Y43" s="7"/>
      <c r="Z43" s="7"/>
      <c r="AA43" s="7"/>
      <c r="AB43" s="8">
        <f t="shared" si="4"/>
        <v>14000000</v>
      </c>
      <c r="AC43" s="7"/>
      <c r="AD43" s="7"/>
      <c r="AE43" s="7"/>
      <c r="AF43" s="7"/>
      <c r="AG43" s="7"/>
      <c r="AH43" s="7"/>
      <c r="AI43" s="7"/>
      <c r="AJ43" s="7"/>
      <c r="AK43" s="7"/>
      <c r="AL43" s="7"/>
      <c r="AM43" s="7"/>
    </row>
    <row r="44" spans="1:39" ht="113.25" customHeight="1" x14ac:dyDescent="0.3">
      <c r="A44" s="7" t="s">
        <v>70</v>
      </c>
      <c r="B44" s="88" t="s">
        <v>40</v>
      </c>
      <c r="C44" s="87" t="s">
        <v>71</v>
      </c>
      <c r="D44" s="7" t="s">
        <v>93</v>
      </c>
      <c r="E44" s="7" t="s">
        <v>89</v>
      </c>
      <c r="F44" s="7" t="s">
        <v>427</v>
      </c>
      <c r="G44" s="7" t="s">
        <v>106</v>
      </c>
      <c r="H44" s="7">
        <v>2</v>
      </c>
      <c r="I44" s="7">
        <v>3</v>
      </c>
      <c r="J44" s="7">
        <v>8</v>
      </c>
      <c r="K44" s="7">
        <v>1</v>
      </c>
      <c r="L44" s="7" t="s">
        <v>455</v>
      </c>
      <c r="M44" s="7" t="s">
        <v>394</v>
      </c>
      <c r="N44" s="184">
        <v>10000000</v>
      </c>
      <c r="O44" s="7">
        <v>0</v>
      </c>
      <c r="P44" s="7">
        <v>0</v>
      </c>
      <c r="Q44" s="7" t="s">
        <v>123</v>
      </c>
      <c r="R44" s="7" t="s">
        <v>122</v>
      </c>
      <c r="S44" s="120" t="s">
        <v>47</v>
      </c>
      <c r="T44" s="120">
        <v>3846666</v>
      </c>
      <c r="U44" s="94" t="s">
        <v>121</v>
      </c>
      <c r="V44" s="7" t="s">
        <v>120</v>
      </c>
      <c r="W44" s="7" t="s">
        <v>65</v>
      </c>
      <c r="X44" s="7" t="s">
        <v>405</v>
      </c>
      <c r="Y44" s="7"/>
      <c r="Z44" s="7"/>
      <c r="AA44" s="7"/>
      <c r="AB44" s="8">
        <f t="shared" si="4"/>
        <v>10000000</v>
      </c>
      <c r="AC44" s="7"/>
      <c r="AD44" s="7"/>
      <c r="AE44" s="7"/>
      <c r="AF44" s="7"/>
      <c r="AG44" s="7"/>
      <c r="AH44" s="7"/>
      <c r="AI44" s="7"/>
      <c r="AJ44" s="7"/>
      <c r="AK44" s="7"/>
      <c r="AL44" s="7"/>
      <c r="AM44" s="7"/>
    </row>
    <row r="45" spans="1:39" ht="113.25" customHeight="1" x14ac:dyDescent="0.3">
      <c r="A45" s="7" t="s">
        <v>70</v>
      </c>
      <c r="B45" s="88" t="s">
        <v>40</v>
      </c>
      <c r="C45" s="87" t="s">
        <v>71</v>
      </c>
      <c r="D45" s="7" t="s">
        <v>93</v>
      </c>
      <c r="E45" s="7" t="s">
        <v>89</v>
      </c>
      <c r="F45" s="7" t="s">
        <v>427</v>
      </c>
      <c r="G45" s="7" t="s">
        <v>107</v>
      </c>
      <c r="H45" s="7">
        <v>2</v>
      </c>
      <c r="I45" s="7">
        <v>3</v>
      </c>
      <c r="J45" s="7">
        <v>8</v>
      </c>
      <c r="K45" s="7">
        <v>1</v>
      </c>
      <c r="L45" s="7" t="s">
        <v>455</v>
      </c>
      <c r="M45" s="7" t="s">
        <v>394</v>
      </c>
      <c r="N45" s="184">
        <v>6000000</v>
      </c>
      <c r="O45" s="7">
        <v>0</v>
      </c>
      <c r="P45" s="7">
        <v>0</v>
      </c>
      <c r="Q45" s="7" t="s">
        <v>123</v>
      </c>
      <c r="R45" s="7" t="s">
        <v>122</v>
      </c>
      <c r="S45" s="120" t="s">
        <v>47</v>
      </c>
      <c r="T45" s="120">
        <v>3846666</v>
      </c>
      <c r="U45" s="94" t="s">
        <v>121</v>
      </c>
      <c r="V45" s="7" t="s">
        <v>120</v>
      </c>
      <c r="W45" s="7" t="s">
        <v>65</v>
      </c>
      <c r="X45" s="7" t="s">
        <v>405</v>
      </c>
      <c r="Y45" s="7"/>
      <c r="Z45" s="7"/>
      <c r="AA45" s="7"/>
      <c r="AB45" s="8">
        <f t="shared" si="4"/>
        <v>6000000</v>
      </c>
      <c r="AC45" s="7"/>
      <c r="AD45" s="7"/>
      <c r="AE45" s="7"/>
      <c r="AF45" s="7"/>
      <c r="AG45" s="7"/>
      <c r="AH45" s="7"/>
      <c r="AI45" s="7"/>
      <c r="AJ45" s="7"/>
      <c r="AK45" s="7"/>
      <c r="AL45" s="7"/>
      <c r="AM45" s="7"/>
    </row>
    <row r="46" spans="1:39" ht="113.25" customHeight="1" x14ac:dyDescent="0.3">
      <c r="A46" s="7" t="s">
        <v>70</v>
      </c>
      <c r="B46" s="88" t="s">
        <v>40</v>
      </c>
      <c r="C46" s="87" t="s">
        <v>71</v>
      </c>
      <c r="D46" s="7" t="s">
        <v>93</v>
      </c>
      <c r="E46" s="7" t="s">
        <v>89</v>
      </c>
      <c r="F46" s="7" t="s">
        <v>464</v>
      </c>
      <c r="G46" s="7" t="s">
        <v>463</v>
      </c>
      <c r="H46" s="7">
        <v>3</v>
      </c>
      <c r="I46" s="7">
        <v>4</v>
      </c>
      <c r="J46" s="7">
        <v>3</v>
      </c>
      <c r="K46" s="7">
        <v>1</v>
      </c>
      <c r="L46" s="7" t="s">
        <v>455</v>
      </c>
      <c r="M46" s="7" t="s">
        <v>394</v>
      </c>
      <c r="N46" s="184">
        <v>14700000</v>
      </c>
      <c r="O46" s="7">
        <v>0</v>
      </c>
      <c r="P46" s="7">
        <v>0</v>
      </c>
      <c r="Q46" s="7" t="s">
        <v>123</v>
      </c>
      <c r="R46" s="7" t="s">
        <v>122</v>
      </c>
      <c r="S46" s="120" t="s">
        <v>47</v>
      </c>
      <c r="T46" s="120">
        <v>3846666</v>
      </c>
      <c r="U46" s="94" t="s">
        <v>121</v>
      </c>
      <c r="V46" s="7" t="s">
        <v>120</v>
      </c>
      <c r="W46" s="7" t="s">
        <v>289</v>
      </c>
      <c r="X46" s="7" t="s">
        <v>405</v>
      </c>
      <c r="Y46" s="7"/>
      <c r="Z46" s="7"/>
      <c r="AA46" s="7"/>
      <c r="AB46" s="8">
        <f t="shared" ref="AB46:AB47" si="5">+N46+Y46+Z46-AA46</f>
        <v>14700000</v>
      </c>
      <c r="AC46" s="7"/>
      <c r="AD46" s="7"/>
      <c r="AE46" s="7"/>
      <c r="AF46" s="7"/>
      <c r="AG46" s="7"/>
      <c r="AH46" s="7"/>
      <c r="AI46" s="7"/>
      <c r="AJ46" s="7"/>
      <c r="AK46" s="7"/>
      <c r="AL46" s="7"/>
      <c r="AM46" s="7"/>
    </row>
    <row r="47" spans="1:39" ht="113.25" customHeight="1" x14ac:dyDescent="0.3">
      <c r="A47" s="7" t="s">
        <v>70</v>
      </c>
      <c r="B47" s="88" t="s">
        <v>40</v>
      </c>
      <c r="C47" s="87" t="s">
        <v>71</v>
      </c>
      <c r="D47" s="7" t="s">
        <v>93</v>
      </c>
      <c r="E47" s="7" t="s">
        <v>89</v>
      </c>
      <c r="F47" s="7" t="s">
        <v>466</v>
      </c>
      <c r="G47" s="7" t="s">
        <v>465</v>
      </c>
      <c r="H47" s="7">
        <v>3</v>
      </c>
      <c r="I47" s="7">
        <v>4</v>
      </c>
      <c r="J47" s="7">
        <v>2</v>
      </c>
      <c r="K47" s="7">
        <v>1</v>
      </c>
      <c r="L47" s="7" t="s">
        <v>455</v>
      </c>
      <c r="M47" s="7" t="s">
        <v>394</v>
      </c>
      <c r="N47" s="184">
        <v>7000000</v>
      </c>
      <c r="O47" s="7">
        <v>0</v>
      </c>
      <c r="P47" s="7">
        <v>0</v>
      </c>
      <c r="Q47" s="7" t="s">
        <v>123</v>
      </c>
      <c r="R47" s="7" t="s">
        <v>122</v>
      </c>
      <c r="S47" s="120" t="s">
        <v>47</v>
      </c>
      <c r="T47" s="120">
        <v>3846666</v>
      </c>
      <c r="U47" s="94" t="s">
        <v>121</v>
      </c>
      <c r="V47" s="7" t="s">
        <v>120</v>
      </c>
      <c r="W47" s="7" t="s">
        <v>289</v>
      </c>
      <c r="X47" s="7" t="s">
        <v>405</v>
      </c>
      <c r="Y47" s="7"/>
      <c r="Z47" s="7"/>
      <c r="AA47" s="7"/>
      <c r="AB47" s="8">
        <f t="shared" si="5"/>
        <v>7000000</v>
      </c>
      <c r="AC47" s="7"/>
      <c r="AD47" s="7"/>
      <c r="AE47" s="7"/>
      <c r="AF47" s="7"/>
      <c r="AG47" s="7"/>
      <c r="AH47" s="7"/>
      <c r="AI47" s="7"/>
      <c r="AJ47" s="7"/>
      <c r="AK47" s="7"/>
      <c r="AL47" s="7"/>
      <c r="AM47" s="7"/>
    </row>
    <row r="48" spans="1:39" ht="113.25" customHeight="1" x14ac:dyDescent="0.3">
      <c r="A48" s="7" t="s">
        <v>119</v>
      </c>
      <c r="B48" s="88" t="s">
        <v>40</v>
      </c>
      <c r="C48" s="173" t="s">
        <v>108</v>
      </c>
      <c r="D48" s="7" t="s">
        <v>109</v>
      </c>
      <c r="E48" s="7" t="s">
        <v>43</v>
      </c>
      <c r="F48" s="7" t="s">
        <v>110</v>
      </c>
      <c r="G48" s="120" t="s">
        <v>111</v>
      </c>
      <c r="H48" s="120">
        <v>2</v>
      </c>
      <c r="I48" s="120">
        <v>3</v>
      </c>
      <c r="J48" s="120">
        <v>6</v>
      </c>
      <c r="K48" s="120">
        <v>1</v>
      </c>
      <c r="L48" s="120" t="s">
        <v>455</v>
      </c>
      <c r="M48" s="120" t="s">
        <v>394</v>
      </c>
      <c r="N48" s="205">
        <f>20000000-3746076</f>
        <v>16253924</v>
      </c>
      <c r="O48" s="7">
        <v>0</v>
      </c>
      <c r="P48" s="7">
        <v>0</v>
      </c>
      <c r="Q48" s="7" t="s">
        <v>123</v>
      </c>
      <c r="R48" s="7" t="s">
        <v>122</v>
      </c>
      <c r="S48" s="120" t="s">
        <v>47</v>
      </c>
      <c r="T48" s="120">
        <v>3846666</v>
      </c>
      <c r="U48" s="94" t="s">
        <v>121</v>
      </c>
      <c r="V48" s="7" t="s">
        <v>120</v>
      </c>
      <c r="W48" s="7" t="s">
        <v>112</v>
      </c>
      <c r="X48" s="7" t="s">
        <v>113</v>
      </c>
      <c r="Y48" s="7"/>
      <c r="Z48" s="7"/>
      <c r="AA48" s="7"/>
      <c r="AB48" s="8">
        <f t="shared" si="4"/>
        <v>16253924</v>
      </c>
      <c r="AC48" s="7"/>
      <c r="AD48" s="7"/>
      <c r="AE48" s="7"/>
      <c r="AF48" s="7"/>
      <c r="AG48" s="7"/>
      <c r="AH48" s="7"/>
      <c r="AI48" s="7"/>
      <c r="AJ48" s="7"/>
      <c r="AK48" s="7"/>
      <c r="AL48" s="7"/>
      <c r="AM48" s="7"/>
    </row>
    <row r="49" spans="1:39" ht="113.25" customHeight="1" x14ac:dyDescent="0.3">
      <c r="A49" s="7" t="s">
        <v>119</v>
      </c>
      <c r="B49" s="88" t="s">
        <v>40</v>
      </c>
      <c r="C49" s="173" t="s">
        <v>108</v>
      </c>
      <c r="D49" s="7" t="s">
        <v>109</v>
      </c>
      <c r="E49" s="7" t="s">
        <v>43</v>
      </c>
      <c r="F49" s="7" t="s">
        <v>110</v>
      </c>
      <c r="G49" s="120" t="s">
        <v>111</v>
      </c>
      <c r="H49" s="120">
        <v>2</v>
      </c>
      <c r="I49" s="120">
        <v>3</v>
      </c>
      <c r="J49" s="120">
        <v>6</v>
      </c>
      <c r="K49" s="120">
        <v>1</v>
      </c>
      <c r="L49" s="120" t="s">
        <v>455</v>
      </c>
      <c r="M49" s="120" t="s">
        <v>410</v>
      </c>
      <c r="N49" s="205">
        <v>5000000</v>
      </c>
      <c r="O49" s="7">
        <v>0</v>
      </c>
      <c r="P49" s="7">
        <v>0</v>
      </c>
      <c r="Q49" s="7" t="s">
        <v>123</v>
      </c>
      <c r="R49" s="7" t="s">
        <v>122</v>
      </c>
      <c r="S49" s="120" t="s">
        <v>47</v>
      </c>
      <c r="T49" s="120">
        <v>3846666</v>
      </c>
      <c r="U49" s="94" t="s">
        <v>121</v>
      </c>
      <c r="V49" s="7" t="s">
        <v>120</v>
      </c>
      <c r="W49" s="7" t="s">
        <v>112</v>
      </c>
      <c r="X49" s="7" t="s">
        <v>113</v>
      </c>
      <c r="Y49" s="7"/>
      <c r="Z49" s="7"/>
      <c r="AA49" s="7"/>
      <c r="AB49" s="8">
        <f t="shared" si="4"/>
        <v>5000000</v>
      </c>
      <c r="AC49" s="7"/>
      <c r="AD49" s="7"/>
      <c r="AE49" s="7"/>
      <c r="AF49" s="7"/>
      <c r="AG49" s="7"/>
      <c r="AH49" s="7"/>
      <c r="AI49" s="7"/>
      <c r="AJ49" s="7"/>
      <c r="AK49" s="7"/>
      <c r="AL49" s="7"/>
      <c r="AM49" s="7"/>
    </row>
    <row r="50" spans="1:39" ht="113.25" customHeight="1" x14ac:dyDescent="0.3">
      <c r="A50" s="7" t="s">
        <v>119</v>
      </c>
      <c r="B50" s="88" t="s">
        <v>40</v>
      </c>
      <c r="C50" s="173" t="s">
        <v>108</v>
      </c>
      <c r="D50" s="7" t="s">
        <v>109</v>
      </c>
      <c r="E50" s="7" t="s">
        <v>43</v>
      </c>
      <c r="F50" s="7" t="s">
        <v>50</v>
      </c>
      <c r="G50" s="120" t="s">
        <v>51</v>
      </c>
      <c r="H50" s="120" t="s">
        <v>50</v>
      </c>
      <c r="I50" s="120" t="s">
        <v>50</v>
      </c>
      <c r="J50" s="120" t="s">
        <v>50</v>
      </c>
      <c r="K50" s="120" t="s">
        <v>50</v>
      </c>
      <c r="L50" s="120" t="s">
        <v>52</v>
      </c>
      <c r="M50" s="120" t="s">
        <v>394</v>
      </c>
      <c r="N50" s="205">
        <f>1808240+3506076</f>
        <v>5314316</v>
      </c>
      <c r="O50" s="7">
        <v>0</v>
      </c>
      <c r="P50" s="7">
        <v>0</v>
      </c>
      <c r="Q50" s="7" t="s">
        <v>123</v>
      </c>
      <c r="R50" s="7" t="s">
        <v>122</v>
      </c>
      <c r="S50" s="120" t="s">
        <v>47</v>
      </c>
      <c r="T50" s="120">
        <v>3846666</v>
      </c>
      <c r="U50" s="94" t="s">
        <v>121</v>
      </c>
      <c r="V50" s="7" t="s">
        <v>120</v>
      </c>
      <c r="W50" s="7" t="s">
        <v>53</v>
      </c>
      <c r="X50" s="7" t="s">
        <v>50</v>
      </c>
      <c r="Y50" s="7"/>
      <c r="Z50" s="7"/>
      <c r="AA50" s="7"/>
      <c r="AB50" s="8">
        <f t="shared" si="4"/>
        <v>5314316</v>
      </c>
      <c r="AC50" s="7"/>
      <c r="AD50" s="7"/>
      <c r="AE50" s="7"/>
      <c r="AF50" s="7"/>
      <c r="AG50" s="7"/>
      <c r="AH50" s="7"/>
      <c r="AI50" s="7"/>
      <c r="AJ50" s="7"/>
      <c r="AK50" s="7"/>
      <c r="AL50" s="7"/>
      <c r="AM50" s="7"/>
    </row>
    <row r="51" spans="1:39" ht="113.25" customHeight="1" x14ac:dyDescent="0.3">
      <c r="A51" s="7" t="s">
        <v>119</v>
      </c>
      <c r="B51" s="88" t="s">
        <v>40</v>
      </c>
      <c r="C51" s="173" t="s">
        <v>108</v>
      </c>
      <c r="D51" s="7" t="s">
        <v>109</v>
      </c>
      <c r="E51" s="7" t="s">
        <v>43</v>
      </c>
      <c r="F51" s="7" t="s">
        <v>50</v>
      </c>
      <c r="G51" s="120" t="s">
        <v>54</v>
      </c>
      <c r="H51" s="120" t="s">
        <v>50</v>
      </c>
      <c r="I51" s="120" t="s">
        <v>50</v>
      </c>
      <c r="J51" s="120" t="s">
        <v>50</v>
      </c>
      <c r="K51" s="120" t="s">
        <v>50</v>
      </c>
      <c r="L51" s="120" t="s">
        <v>52</v>
      </c>
      <c r="M51" s="120" t="s">
        <v>394</v>
      </c>
      <c r="N51" s="205">
        <f>120000+240000</f>
        <v>360000</v>
      </c>
      <c r="O51" s="7">
        <v>0</v>
      </c>
      <c r="P51" s="7">
        <v>0</v>
      </c>
      <c r="Q51" s="7" t="s">
        <v>123</v>
      </c>
      <c r="R51" s="7" t="s">
        <v>122</v>
      </c>
      <c r="S51" s="120" t="s">
        <v>47</v>
      </c>
      <c r="T51" s="120">
        <v>3846666</v>
      </c>
      <c r="U51" s="94" t="s">
        <v>121</v>
      </c>
      <c r="V51" s="7" t="s">
        <v>120</v>
      </c>
      <c r="W51" s="7" t="s">
        <v>55</v>
      </c>
      <c r="X51" s="7" t="s">
        <v>50</v>
      </c>
      <c r="Y51" s="7"/>
      <c r="Z51" s="7"/>
      <c r="AA51" s="7"/>
      <c r="AB51" s="8">
        <f t="shared" si="4"/>
        <v>360000</v>
      </c>
      <c r="AC51" s="7"/>
      <c r="AD51" s="7"/>
      <c r="AE51" s="7"/>
      <c r="AF51" s="7"/>
      <c r="AG51" s="7"/>
      <c r="AH51" s="7"/>
      <c r="AI51" s="7"/>
      <c r="AJ51" s="7"/>
      <c r="AK51" s="7"/>
      <c r="AL51" s="7"/>
      <c r="AM51" s="7"/>
    </row>
    <row r="52" spans="1:39" ht="113.25" customHeight="1" x14ac:dyDescent="0.3">
      <c r="A52" s="7" t="s">
        <v>119</v>
      </c>
      <c r="B52" s="88" t="s">
        <v>40</v>
      </c>
      <c r="C52" s="173" t="s">
        <v>108</v>
      </c>
      <c r="D52" s="7" t="s">
        <v>114</v>
      </c>
      <c r="E52" s="7" t="s">
        <v>43</v>
      </c>
      <c r="F52" s="104">
        <v>80111600</v>
      </c>
      <c r="G52" s="7" t="s">
        <v>115</v>
      </c>
      <c r="H52" s="7">
        <v>2</v>
      </c>
      <c r="I52" s="7">
        <v>2</v>
      </c>
      <c r="J52" s="7">
        <v>10</v>
      </c>
      <c r="K52" s="7">
        <v>1</v>
      </c>
      <c r="L52" s="7" t="s">
        <v>45</v>
      </c>
      <c r="M52" s="7" t="s">
        <v>394</v>
      </c>
      <c r="N52" s="184">
        <f>3130298*10</f>
        <v>31302980</v>
      </c>
      <c r="O52" s="7">
        <v>0</v>
      </c>
      <c r="P52" s="7">
        <v>0</v>
      </c>
      <c r="Q52" s="7" t="s">
        <v>123</v>
      </c>
      <c r="R52" s="7" t="s">
        <v>122</v>
      </c>
      <c r="S52" s="120" t="s">
        <v>47</v>
      </c>
      <c r="T52" s="120">
        <v>3846666</v>
      </c>
      <c r="U52" s="94" t="s">
        <v>121</v>
      </c>
      <c r="V52" s="7" t="s">
        <v>120</v>
      </c>
      <c r="W52" s="7" t="s">
        <v>46</v>
      </c>
      <c r="X52" s="120" t="s">
        <v>63</v>
      </c>
      <c r="Y52" s="7"/>
      <c r="Z52" s="7"/>
      <c r="AA52" s="7"/>
      <c r="AB52" s="8">
        <f t="shared" si="4"/>
        <v>31302980</v>
      </c>
      <c r="AC52" s="7"/>
      <c r="AD52" s="7"/>
      <c r="AE52" s="7"/>
      <c r="AF52" s="7"/>
      <c r="AG52" s="7"/>
      <c r="AH52" s="7"/>
      <c r="AI52" s="7"/>
      <c r="AJ52" s="7"/>
      <c r="AK52" s="7"/>
      <c r="AL52" s="7"/>
      <c r="AM52" s="7"/>
    </row>
    <row r="53" spans="1:39" ht="113.25" customHeight="1" x14ac:dyDescent="0.3">
      <c r="A53" s="7" t="s">
        <v>119</v>
      </c>
      <c r="B53" s="88" t="s">
        <v>40</v>
      </c>
      <c r="C53" s="173" t="s">
        <v>108</v>
      </c>
      <c r="D53" s="7" t="s">
        <v>116</v>
      </c>
      <c r="E53" s="7" t="s">
        <v>43</v>
      </c>
      <c r="F53" s="104">
        <v>80111600</v>
      </c>
      <c r="G53" s="7" t="s">
        <v>117</v>
      </c>
      <c r="H53" s="7">
        <v>2</v>
      </c>
      <c r="I53" s="7">
        <v>2</v>
      </c>
      <c r="J53" s="7">
        <v>10</v>
      </c>
      <c r="K53" s="7">
        <v>1</v>
      </c>
      <c r="L53" s="7" t="s">
        <v>45</v>
      </c>
      <c r="M53" s="7" t="s">
        <v>394</v>
      </c>
      <c r="N53" s="184">
        <f>3130298*10</f>
        <v>31302980</v>
      </c>
      <c r="O53" s="7">
        <v>0</v>
      </c>
      <c r="P53" s="7">
        <v>0</v>
      </c>
      <c r="Q53" s="7" t="s">
        <v>123</v>
      </c>
      <c r="R53" s="7" t="s">
        <v>122</v>
      </c>
      <c r="S53" s="120" t="s">
        <v>47</v>
      </c>
      <c r="T53" s="120">
        <v>3846666</v>
      </c>
      <c r="U53" s="94" t="s">
        <v>121</v>
      </c>
      <c r="V53" s="7" t="s">
        <v>120</v>
      </c>
      <c r="W53" s="7" t="s">
        <v>46</v>
      </c>
      <c r="X53" s="7" t="s">
        <v>63</v>
      </c>
      <c r="Y53" s="7"/>
      <c r="Z53" s="7"/>
      <c r="AA53" s="7"/>
      <c r="AB53" s="8">
        <f t="shared" si="4"/>
        <v>31302980</v>
      </c>
      <c r="AC53" s="7"/>
      <c r="AD53" s="7"/>
      <c r="AE53" s="7"/>
      <c r="AF53" s="7"/>
      <c r="AG53" s="7"/>
      <c r="AH53" s="7"/>
      <c r="AI53" s="7"/>
      <c r="AJ53" s="7"/>
      <c r="AK53" s="7"/>
      <c r="AL53" s="7"/>
      <c r="AM53" s="7"/>
    </row>
    <row r="54" spans="1:39" ht="113.25" customHeight="1" x14ac:dyDescent="0.3">
      <c r="A54" s="7" t="s">
        <v>119</v>
      </c>
      <c r="B54" s="88" t="s">
        <v>40</v>
      </c>
      <c r="C54" s="173" t="s">
        <v>108</v>
      </c>
      <c r="D54" s="7" t="s">
        <v>116</v>
      </c>
      <c r="E54" s="7" t="s">
        <v>43</v>
      </c>
      <c r="F54" s="104">
        <v>80111600</v>
      </c>
      <c r="G54" s="7" t="s">
        <v>118</v>
      </c>
      <c r="H54" s="7">
        <v>1</v>
      </c>
      <c r="I54" s="7">
        <v>1</v>
      </c>
      <c r="J54" s="7">
        <v>11</v>
      </c>
      <c r="K54" s="7">
        <v>1</v>
      </c>
      <c r="L54" s="7" t="s">
        <v>45</v>
      </c>
      <c r="M54" s="7" t="s">
        <v>394</v>
      </c>
      <c r="N54" s="184">
        <f>1800000*11</f>
        <v>19800000</v>
      </c>
      <c r="O54" s="7">
        <v>0</v>
      </c>
      <c r="P54" s="7">
        <v>0</v>
      </c>
      <c r="Q54" s="7" t="s">
        <v>123</v>
      </c>
      <c r="R54" s="7" t="s">
        <v>122</v>
      </c>
      <c r="S54" s="120" t="s">
        <v>47</v>
      </c>
      <c r="T54" s="120">
        <v>3846666</v>
      </c>
      <c r="U54" s="94" t="s">
        <v>121</v>
      </c>
      <c r="V54" s="7" t="s">
        <v>120</v>
      </c>
      <c r="W54" s="7" t="s">
        <v>46</v>
      </c>
      <c r="X54" s="7" t="s">
        <v>63</v>
      </c>
      <c r="Y54" s="7"/>
      <c r="Z54" s="7"/>
      <c r="AA54" s="7"/>
      <c r="AB54" s="8">
        <f t="shared" si="4"/>
        <v>19800000</v>
      </c>
      <c r="AC54" s="7"/>
      <c r="AD54" s="7"/>
      <c r="AE54" s="7"/>
      <c r="AF54" s="7"/>
      <c r="AG54" s="7"/>
      <c r="AH54" s="7"/>
      <c r="AI54" s="7"/>
      <c r="AJ54" s="7"/>
      <c r="AK54" s="7"/>
      <c r="AL54" s="7"/>
      <c r="AM54" s="7"/>
    </row>
    <row r="55" spans="1:39" ht="113.25" customHeight="1" x14ac:dyDescent="0.3">
      <c r="A55" s="7" t="s">
        <v>119</v>
      </c>
      <c r="B55" s="88" t="s">
        <v>40</v>
      </c>
      <c r="C55" s="173" t="s">
        <v>108</v>
      </c>
      <c r="D55" s="7" t="s">
        <v>116</v>
      </c>
      <c r="E55" s="7" t="s">
        <v>43</v>
      </c>
      <c r="F55" s="7">
        <v>94131503</v>
      </c>
      <c r="G55" s="7" t="s">
        <v>241</v>
      </c>
      <c r="H55" s="7">
        <v>7</v>
      </c>
      <c r="I55" s="7">
        <v>7</v>
      </c>
      <c r="J55" s="7">
        <v>1</v>
      </c>
      <c r="K55" s="7">
        <v>1</v>
      </c>
      <c r="L55" s="7" t="s">
        <v>45</v>
      </c>
      <c r="M55" s="7" t="s">
        <v>394</v>
      </c>
      <c r="N55" s="184">
        <v>11919856</v>
      </c>
      <c r="O55" s="7">
        <v>0</v>
      </c>
      <c r="P55" s="7">
        <v>0</v>
      </c>
      <c r="Q55" s="7" t="s">
        <v>123</v>
      </c>
      <c r="R55" s="7" t="s">
        <v>122</v>
      </c>
      <c r="S55" s="120" t="s">
        <v>47</v>
      </c>
      <c r="T55" s="120">
        <v>3846666</v>
      </c>
      <c r="U55" s="94" t="s">
        <v>121</v>
      </c>
      <c r="V55" s="7" t="s">
        <v>120</v>
      </c>
      <c r="W55" s="7" t="s">
        <v>242</v>
      </c>
      <c r="X55" s="7" t="s">
        <v>63</v>
      </c>
      <c r="Y55" s="7"/>
      <c r="Z55" s="7"/>
      <c r="AA55" s="7"/>
      <c r="AB55" s="8">
        <f t="shared" si="4"/>
        <v>11919856</v>
      </c>
      <c r="AC55" s="7"/>
      <c r="AD55" s="7"/>
      <c r="AE55" s="7"/>
      <c r="AF55" s="7"/>
      <c r="AG55" s="7"/>
      <c r="AH55" s="7"/>
      <c r="AI55" s="7"/>
      <c r="AJ55" s="7"/>
      <c r="AK55" s="7"/>
      <c r="AL55" s="7"/>
      <c r="AM55" s="7"/>
    </row>
    <row r="56" spans="1:39" ht="113.25" customHeight="1" x14ac:dyDescent="0.3">
      <c r="A56" s="7" t="s">
        <v>119</v>
      </c>
      <c r="B56" s="88" t="s">
        <v>40</v>
      </c>
      <c r="C56" s="173" t="s">
        <v>108</v>
      </c>
      <c r="D56" s="7" t="s">
        <v>116</v>
      </c>
      <c r="E56" s="7" t="s">
        <v>43</v>
      </c>
      <c r="F56" s="7" t="s">
        <v>50</v>
      </c>
      <c r="G56" s="7" t="s">
        <v>51</v>
      </c>
      <c r="H56" s="7" t="s">
        <v>50</v>
      </c>
      <c r="I56" s="7" t="s">
        <v>50</v>
      </c>
      <c r="J56" s="7" t="s">
        <v>50</v>
      </c>
      <c r="K56" s="7" t="s">
        <v>50</v>
      </c>
      <c r="L56" s="7" t="s">
        <v>52</v>
      </c>
      <c r="M56" s="7" t="s">
        <v>394</v>
      </c>
      <c r="N56" s="184">
        <v>10829142</v>
      </c>
      <c r="O56" s="7">
        <v>0</v>
      </c>
      <c r="P56" s="7">
        <v>0</v>
      </c>
      <c r="Q56" s="7" t="s">
        <v>123</v>
      </c>
      <c r="R56" s="7" t="s">
        <v>122</v>
      </c>
      <c r="S56" s="120" t="s">
        <v>47</v>
      </c>
      <c r="T56" s="120">
        <v>3846666</v>
      </c>
      <c r="U56" s="94" t="s">
        <v>121</v>
      </c>
      <c r="V56" s="7" t="s">
        <v>120</v>
      </c>
      <c r="W56" s="7" t="s">
        <v>53</v>
      </c>
      <c r="X56" s="7" t="s">
        <v>50</v>
      </c>
      <c r="Y56" s="7"/>
      <c r="Z56" s="7"/>
      <c r="AA56" s="7"/>
      <c r="AB56" s="8">
        <f t="shared" si="4"/>
        <v>10829142</v>
      </c>
      <c r="AC56" s="7"/>
      <c r="AD56" s="7"/>
      <c r="AE56" s="7"/>
      <c r="AF56" s="7"/>
      <c r="AG56" s="7"/>
      <c r="AH56" s="7"/>
      <c r="AI56" s="7"/>
      <c r="AJ56" s="7"/>
      <c r="AK56" s="7"/>
      <c r="AL56" s="7"/>
      <c r="AM56" s="7"/>
    </row>
    <row r="57" spans="1:39" ht="113.25" customHeight="1" x14ac:dyDescent="0.3">
      <c r="A57" s="7" t="s">
        <v>119</v>
      </c>
      <c r="B57" s="88" t="s">
        <v>40</v>
      </c>
      <c r="C57" s="173" t="s">
        <v>108</v>
      </c>
      <c r="D57" s="7" t="s">
        <v>116</v>
      </c>
      <c r="E57" s="7" t="s">
        <v>43</v>
      </c>
      <c r="F57" s="7" t="s">
        <v>50</v>
      </c>
      <c r="G57" s="7" t="s">
        <v>54</v>
      </c>
      <c r="H57" s="7" t="s">
        <v>50</v>
      </c>
      <c r="I57" s="7" t="s">
        <v>50</v>
      </c>
      <c r="J57" s="7" t="s">
        <v>50</v>
      </c>
      <c r="K57" s="7" t="s">
        <v>50</v>
      </c>
      <c r="L57" s="7" t="s">
        <v>52</v>
      </c>
      <c r="M57" s="7" t="s">
        <v>394</v>
      </c>
      <c r="N57" s="184">
        <v>1010000</v>
      </c>
      <c r="O57" s="7">
        <v>0</v>
      </c>
      <c r="P57" s="7">
        <v>0</v>
      </c>
      <c r="Q57" s="7" t="s">
        <v>123</v>
      </c>
      <c r="R57" s="7" t="s">
        <v>122</v>
      </c>
      <c r="S57" s="120" t="s">
        <v>47</v>
      </c>
      <c r="T57" s="120">
        <v>3846666</v>
      </c>
      <c r="U57" s="94" t="s">
        <v>121</v>
      </c>
      <c r="V57" s="7" t="s">
        <v>120</v>
      </c>
      <c r="W57" s="7" t="s">
        <v>55</v>
      </c>
      <c r="X57" s="7" t="s">
        <v>50</v>
      </c>
      <c r="Y57" s="7"/>
      <c r="Z57" s="7"/>
      <c r="AA57" s="7"/>
      <c r="AB57" s="8">
        <f t="shared" si="4"/>
        <v>1010000</v>
      </c>
      <c r="AC57" s="7"/>
      <c r="AD57" s="7"/>
      <c r="AE57" s="7"/>
      <c r="AF57" s="7"/>
      <c r="AG57" s="7"/>
      <c r="AH57" s="7"/>
      <c r="AI57" s="7"/>
      <c r="AJ57" s="7"/>
      <c r="AK57" s="7"/>
      <c r="AL57" s="7"/>
      <c r="AM57" s="7"/>
    </row>
    <row r="58" spans="1:39" ht="113.25" hidden="1" customHeight="1" x14ac:dyDescent="0.3">
      <c r="A58" s="107" t="s">
        <v>294</v>
      </c>
      <c r="B58" s="87" t="s">
        <v>213</v>
      </c>
      <c r="C58" s="169" t="s">
        <v>435</v>
      </c>
      <c r="D58" s="90" t="s">
        <v>225</v>
      </c>
      <c r="E58" s="7" t="s">
        <v>243</v>
      </c>
      <c r="F58" s="7">
        <v>80111600</v>
      </c>
      <c r="G58" s="7" t="s">
        <v>244</v>
      </c>
      <c r="H58" s="93">
        <v>1</v>
      </c>
      <c r="I58" s="93">
        <v>1</v>
      </c>
      <c r="J58" s="93">
        <v>11</v>
      </c>
      <c r="K58" s="93">
        <v>1</v>
      </c>
      <c r="L58" s="7" t="s">
        <v>45</v>
      </c>
      <c r="M58" s="7" t="s">
        <v>394</v>
      </c>
      <c r="N58" s="185">
        <f>2288000*11</f>
        <v>25168000</v>
      </c>
      <c r="O58" s="7">
        <v>0</v>
      </c>
      <c r="P58" s="7">
        <v>0</v>
      </c>
      <c r="Q58" s="7" t="s">
        <v>123</v>
      </c>
      <c r="R58" s="7" t="s">
        <v>122</v>
      </c>
      <c r="S58" s="120" t="s">
        <v>248</v>
      </c>
      <c r="T58" s="120">
        <v>3846666</v>
      </c>
      <c r="U58" s="94" t="s">
        <v>249</v>
      </c>
      <c r="V58" s="7" t="s">
        <v>120</v>
      </c>
      <c r="W58" s="95" t="s">
        <v>246</v>
      </c>
      <c r="X58" s="7" t="s">
        <v>245</v>
      </c>
      <c r="Y58" s="7"/>
      <c r="Z58" s="7"/>
      <c r="AA58" s="7"/>
      <c r="AB58" s="8">
        <f t="shared" si="4"/>
        <v>25168000</v>
      </c>
      <c r="AC58" s="7"/>
      <c r="AD58" s="7"/>
      <c r="AE58" s="7"/>
      <c r="AF58" s="7"/>
      <c r="AG58" s="7"/>
      <c r="AH58" s="7"/>
      <c r="AI58" s="7"/>
      <c r="AJ58" s="7"/>
      <c r="AK58" s="7"/>
      <c r="AL58" s="7"/>
      <c r="AM58" s="7"/>
    </row>
    <row r="59" spans="1:39" ht="104.25" hidden="1" customHeight="1" x14ac:dyDescent="0.3">
      <c r="A59" s="107" t="s">
        <v>294</v>
      </c>
      <c r="B59" s="87" t="s">
        <v>213</v>
      </c>
      <c r="C59" s="169" t="s">
        <v>435</v>
      </c>
      <c r="D59" s="90" t="s">
        <v>225</v>
      </c>
      <c r="E59" s="7" t="s">
        <v>243</v>
      </c>
      <c r="F59" s="7">
        <v>44111515</v>
      </c>
      <c r="G59" s="7" t="s">
        <v>250</v>
      </c>
      <c r="H59" s="93">
        <v>2</v>
      </c>
      <c r="I59" s="93">
        <v>3</v>
      </c>
      <c r="J59" s="93">
        <v>1</v>
      </c>
      <c r="K59" s="93">
        <v>1</v>
      </c>
      <c r="L59" s="7" t="s">
        <v>91</v>
      </c>
      <c r="M59" s="110" t="s">
        <v>394</v>
      </c>
      <c r="N59" s="185">
        <v>29500000</v>
      </c>
      <c r="O59" s="7">
        <v>0</v>
      </c>
      <c r="P59" s="7">
        <v>0</v>
      </c>
      <c r="Q59" s="7" t="s">
        <v>123</v>
      </c>
      <c r="R59" s="7" t="s">
        <v>122</v>
      </c>
      <c r="S59" s="120" t="s">
        <v>248</v>
      </c>
      <c r="T59" s="120">
        <v>3846666</v>
      </c>
      <c r="U59" s="94" t="s">
        <v>249</v>
      </c>
      <c r="V59" s="7" t="s">
        <v>120</v>
      </c>
      <c r="W59" s="7" t="s">
        <v>252</v>
      </c>
      <c r="X59" s="7" t="s">
        <v>245</v>
      </c>
      <c r="Y59" s="7"/>
      <c r="Z59" s="7"/>
      <c r="AA59" s="7"/>
      <c r="AB59" s="8">
        <f t="shared" si="4"/>
        <v>29500000</v>
      </c>
      <c r="AC59" s="7"/>
      <c r="AD59" s="7"/>
      <c r="AE59" s="7"/>
      <c r="AF59" s="7"/>
      <c r="AG59" s="7"/>
      <c r="AH59" s="7"/>
      <c r="AI59" s="7"/>
      <c r="AJ59" s="7"/>
      <c r="AK59" s="7"/>
      <c r="AL59" s="7"/>
      <c r="AM59" s="7"/>
    </row>
    <row r="60" spans="1:39" ht="104.25" hidden="1" customHeight="1" x14ac:dyDescent="0.3">
      <c r="A60" s="107" t="s">
        <v>294</v>
      </c>
      <c r="B60" s="87" t="s">
        <v>213</v>
      </c>
      <c r="C60" s="169" t="s">
        <v>435</v>
      </c>
      <c r="D60" s="90" t="s">
        <v>226</v>
      </c>
      <c r="E60" s="7" t="s">
        <v>243</v>
      </c>
      <c r="F60" s="7">
        <v>80111600</v>
      </c>
      <c r="G60" s="7" t="s">
        <v>253</v>
      </c>
      <c r="H60" s="93">
        <v>1</v>
      </c>
      <c r="I60" s="93">
        <v>1</v>
      </c>
      <c r="J60" s="93">
        <v>11</v>
      </c>
      <c r="K60" s="93">
        <v>1</v>
      </c>
      <c r="L60" s="7" t="s">
        <v>45</v>
      </c>
      <c r="M60" s="7" t="s">
        <v>394</v>
      </c>
      <c r="N60" s="185">
        <f>2652937*11</f>
        <v>29182307</v>
      </c>
      <c r="O60" s="7">
        <v>0</v>
      </c>
      <c r="P60" s="7">
        <v>0</v>
      </c>
      <c r="Q60" s="7" t="s">
        <v>123</v>
      </c>
      <c r="R60" s="7" t="s">
        <v>122</v>
      </c>
      <c r="S60" s="120" t="s">
        <v>248</v>
      </c>
      <c r="T60" s="120">
        <v>3846666</v>
      </c>
      <c r="U60" s="94" t="s">
        <v>249</v>
      </c>
      <c r="V60" s="7" t="s">
        <v>120</v>
      </c>
      <c r="W60" s="95" t="s">
        <v>58</v>
      </c>
      <c r="X60" s="95" t="s">
        <v>245</v>
      </c>
      <c r="Y60" s="7"/>
      <c r="Z60" s="7"/>
      <c r="AA60" s="7"/>
      <c r="AB60" s="8">
        <f t="shared" si="4"/>
        <v>29182307</v>
      </c>
      <c r="AC60" s="7"/>
      <c r="AD60" s="7"/>
      <c r="AE60" s="7"/>
      <c r="AF60" s="7"/>
      <c r="AG60" s="7"/>
      <c r="AH60" s="7"/>
      <c r="AI60" s="7"/>
      <c r="AJ60" s="7"/>
      <c r="AK60" s="7"/>
      <c r="AL60" s="7"/>
      <c r="AM60" s="7"/>
    </row>
    <row r="61" spans="1:39" ht="104.25" hidden="1" customHeight="1" x14ac:dyDescent="0.3">
      <c r="A61" s="7" t="s">
        <v>295</v>
      </c>
      <c r="B61" s="87" t="s">
        <v>213</v>
      </c>
      <c r="C61" s="173" t="s">
        <v>436</v>
      </c>
      <c r="D61" s="90" t="s">
        <v>230</v>
      </c>
      <c r="E61" s="7" t="s">
        <v>254</v>
      </c>
      <c r="F61" s="7">
        <v>93141808</v>
      </c>
      <c r="G61" s="92" t="s">
        <v>255</v>
      </c>
      <c r="H61" s="93">
        <v>10</v>
      </c>
      <c r="I61" s="93">
        <v>10</v>
      </c>
      <c r="J61" s="93">
        <v>2</v>
      </c>
      <c r="K61" s="93">
        <v>1</v>
      </c>
      <c r="L61" s="7" t="s">
        <v>455</v>
      </c>
      <c r="M61" s="7" t="s">
        <v>410</v>
      </c>
      <c r="N61" s="185">
        <v>7500000</v>
      </c>
      <c r="O61" s="7">
        <v>0</v>
      </c>
      <c r="P61" s="7">
        <v>0</v>
      </c>
      <c r="Q61" s="7" t="s">
        <v>123</v>
      </c>
      <c r="R61" s="7" t="s">
        <v>122</v>
      </c>
      <c r="S61" s="120" t="s">
        <v>248</v>
      </c>
      <c r="T61" s="120">
        <v>3846666</v>
      </c>
      <c r="U61" s="94" t="s">
        <v>249</v>
      </c>
      <c r="V61" s="7" t="s">
        <v>120</v>
      </c>
      <c r="W61" s="95" t="s">
        <v>65</v>
      </c>
      <c r="X61" s="95" t="s">
        <v>247</v>
      </c>
      <c r="Y61" s="7"/>
      <c r="Z61" s="7"/>
      <c r="AA61" s="7"/>
      <c r="AB61" s="8">
        <f t="shared" si="4"/>
        <v>7500000</v>
      </c>
      <c r="AC61" s="7"/>
      <c r="AD61" s="7"/>
      <c r="AE61" s="7"/>
      <c r="AF61" s="7"/>
      <c r="AG61" s="7"/>
      <c r="AH61" s="7"/>
      <c r="AI61" s="7"/>
      <c r="AJ61" s="7"/>
      <c r="AK61" s="7"/>
      <c r="AL61" s="7"/>
      <c r="AM61" s="7"/>
    </row>
    <row r="62" spans="1:39" ht="104.25" hidden="1" customHeight="1" x14ac:dyDescent="0.3">
      <c r="A62" s="7" t="s">
        <v>295</v>
      </c>
      <c r="B62" s="87" t="s">
        <v>213</v>
      </c>
      <c r="C62" s="173" t="s">
        <v>436</v>
      </c>
      <c r="D62" s="7" t="s">
        <v>228</v>
      </c>
      <c r="E62" s="7" t="s">
        <v>254</v>
      </c>
      <c r="F62" s="7" t="s">
        <v>429</v>
      </c>
      <c r="G62" s="92" t="s">
        <v>256</v>
      </c>
      <c r="H62" s="93">
        <v>4</v>
      </c>
      <c r="I62" s="93">
        <v>4</v>
      </c>
      <c r="J62" s="93">
        <v>8</v>
      </c>
      <c r="K62" s="93">
        <v>1</v>
      </c>
      <c r="L62" s="7" t="s">
        <v>455</v>
      </c>
      <c r="M62" s="7" t="s">
        <v>410</v>
      </c>
      <c r="N62" s="185">
        <v>14109525</v>
      </c>
      <c r="O62" s="7">
        <v>0</v>
      </c>
      <c r="P62" s="7">
        <v>0</v>
      </c>
      <c r="Q62" s="7" t="s">
        <v>123</v>
      </c>
      <c r="R62" s="7" t="s">
        <v>122</v>
      </c>
      <c r="S62" s="120" t="s">
        <v>248</v>
      </c>
      <c r="T62" s="120">
        <v>3846666</v>
      </c>
      <c r="U62" s="94" t="s">
        <v>249</v>
      </c>
      <c r="V62" s="7" t="s">
        <v>120</v>
      </c>
      <c r="W62" s="95" t="s">
        <v>65</v>
      </c>
      <c r="X62" s="95" t="s">
        <v>247</v>
      </c>
      <c r="Y62" s="7"/>
      <c r="Z62" s="7"/>
      <c r="AA62" s="7"/>
      <c r="AB62" s="8">
        <f t="shared" si="4"/>
        <v>14109525</v>
      </c>
      <c r="AC62" s="7"/>
      <c r="AD62" s="7"/>
      <c r="AE62" s="7"/>
      <c r="AF62" s="7"/>
      <c r="AG62" s="7"/>
      <c r="AH62" s="7"/>
      <c r="AI62" s="7"/>
      <c r="AJ62" s="7"/>
      <c r="AK62" s="7"/>
      <c r="AL62" s="7"/>
      <c r="AM62" s="7"/>
    </row>
    <row r="63" spans="1:39" ht="123" hidden="1" customHeight="1" x14ac:dyDescent="0.3">
      <c r="A63" s="7" t="s">
        <v>296</v>
      </c>
      <c r="B63" s="87" t="s">
        <v>213</v>
      </c>
      <c r="C63" s="164" t="s">
        <v>437</v>
      </c>
      <c r="D63" s="90" t="s">
        <v>234</v>
      </c>
      <c r="E63" s="7" t="s">
        <v>254</v>
      </c>
      <c r="F63" s="91">
        <v>80111600</v>
      </c>
      <c r="G63" s="92" t="s">
        <v>257</v>
      </c>
      <c r="H63" s="93">
        <v>1</v>
      </c>
      <c r="I63" s="93">
        <v>1</v>
      </c>
      <c r="J63" s="93">
        <v>11</v>
      </c>
      <c r="K63" s="93">
        <v>1</v>
      </c>
      <c r="L63" s="7" t="s">
        <v>45</v>
      </c>
      <c r="M63" s="7" t="s">
        <v>394</v>
      </c>
      <c r="N63" s="185">
        <f>2914982*11</f>
        <v>32064802</v>
      </c>
      <c r="O63" s="7">
        <v>0</v>
      </c>
      <c r="P63" s="7">
        <v>0</v>
      </c>
      <c r="Q63" s="7" t="s">
        <v>123</v>
      </c>
      <c r="R63" s="7" t="s">
        <v>122</v>
      </c>
      <c r="S63" s="120" t="s">
        <v>248</v>
      </c>
      <c r="T63" s="120">
        <v>3846666</v>
      </c>
      <c r="U63" s="94" t="s">
        <v>249</v>
      </c>
      <c r="V63" s="7" t="s">
        <v>120</v>
      </c>
      <c r="W63" s="95" t="s">
        <v>46</v>
      </c>
      <c r="X63" s="95" t="s">
        <v>247</v>
      </c>
      <c r="Y63" s="7"/>
      <c r="Z63" s="7"/>
      <c r="AA63" s="7"/>
      <c r="AB63" s="8">
        <f t="shared" si="4"/>
        <v>32064802</v>
      </c>
      <c r="AC63" s="7"/>
      <c r="AD63" s="7"/>
      <c r="AE63" s="7"/>
      <c r="AF63" s="7"/>
      <c r="AG63" s="7"/>
      <c r="AH63" s="7"/>
      <c r="AI63" s="7"/>
      <c r="AJ63" s="7"/>
      <c r="AK63" s="7"/>
      <c r="AL63" s="7"/>
      <c r="AM63" s="7"/>
    </row>
    <row r="64" spans="1:39" ht="104.25" hidden="1" customHeight="1" x14ac:dyDescent="0.3">
      <c r="A64" s="7" t="s">
        <v>296</v>
      </c>
      <c r="B64" s="87" t="s">
        <v>213</v>
      </c>
      <c r="C64" s="164" t="s">
        <v>437</v>
      </c>
      <c r="D64" s="96" t="s">
        <v>232</v>
      </c>
      <c r="E64" s="7" t="s">
        <v>254</v>
      </c>
      <c r="F64" s="91">
        <v>80111600</v>
      </c>
      <c r="G64" s="97" t="s">
        <v>258</v>
      </c>
      <c r="H64" s="93">
        <v>2</v>
      </c>
      <c r="I64" s="98">
        <v>2</v>
      </c>
      <c r="J64" s="98">
        <v>4</v>
      </c>
      <c r="K64" s="98">
        <v>1</v>
      </c>
      <c r="L64" s="89" t="s">
        <v>45</v>
      </c>
      <c r="M64" s="7" t="s">
        <v>394</v>
      </c>
      <c r="N64" s="185">
        <f>3130298*4</f>
        <v>12521192</v>
      </c>
      <c r="O64" s="7">
        <v>0</v>
      </c>
      <c r="P64" s="7">
        <v>0</v>
      </c>
      <c r="Q64" s="7" t="s">
        <v>123</v>
      </c>
      <c r="R64" s="7" t="s">
        <v>122</v>
      </c>
      <c r="S64" s="120" t="s">
        <v>248</v>
      </c>
      <c r="T64" s="120">
        <v>3846666</v>
      </c>
      <c r="U64" s="94" t="s">
        <v>249</v>
      </c>
      <c r="V64" s="7" t="s">
        <v>120</v>
      </c>
      <c r="W64" s="95" t="s">
        <v>46</v>
      </c>
      <c r="X64" s="95" t="s">
        <v>247</v>
      </c>
      <c r="Y64" s="7"/>
      <c r="Z64" s="7"/>
      <c r="AA64" s="7"/>
      <c r="AB64" s="8">
        <f t="shared" si="4"/>
        <v>12521192</v>
      </c>
      <c r="AC64" s="7"/>
      <c r="AD64" s="7"/>
      <c r="AE64" s="7"/>
      <c r="AF64" s="7"/>
      <c r="AG64" s="7"/>
      <c r="AH64" s="7"/>
      <c r="AI64" s="7"/>
      <c r="AJ64" s="7"/>
      <c r="AK64" s="7"/>
      <c r="AL64" s="7"/>
      <c r="AM64" s="7"/>
    </row>
    <row r="65" spans="1:39" ht="104.25" hidden="1" customHeight="1" x14ac:dyDescent="0.3">
      <c r="A65" s="7" t="s">
        <v>296</v>
      </c>
      <c r="B65" s="87" t="s">
        <v>213</v>
      </c>
      <c r="C65" s="164" t="s">
        <v>437</v>
      </c>
      <c r="D65" s="96" t="s">
        <v>232</v>
      </c>
      <c r="E65" s="7" t="s">
        <v>262</v>
      </c>
      <c r="F65" s="99">
        <v>80111600</v>
      </c>
      <c r="G65" s="100" t="s">
        <v>259</v>
      </c>
      <c r="H65" s="93">
        <v>5</v>
      </c>
      <c r="I65" s="98">
        <v>5</v>
      </c>
      <c r="J65" s="98">
        <v>6</v>
      </c>
      <c r="K65" s="98">
        <v>1</v>
      </c>
      <c r="L65" s="101" t="s">
        <v>45</v>
      </c>
      <c r="M65" s="5" t="s">
        <v>394</v>
      </c>
      <c r="N65" s="185">
        <v>24000000</v>
      </c>
      <c r="O65" s="7">
        <v>0</v>
      </c>
      <c r="P65" s="7">
        <v>0</v>
      </c>
      <c r="Q65" s="7" t="s">
        <v>123</v>
      </c>
      <c r="R65" s="7" t="s">
        <v>122</v>
      </c>
      <c r="S65" s="120" t="s">
        <v>260</v>
      </c>
      <c r="T65" s="120">
        <v>3846666</v>
      </c>
      <c r="U65" s="94" t="s">
        <v>261</v>
      </c>
      <c r="V65" s="7" t="s">
        <v>120</v>
      </c>
      <c r="W65" s="102" t="s">
        <v>46</v>
      </c>
      <c r="X65" s="7" t="s">
        <v>260</v>
      </c>
      <c r="Y65" s="7"/>
      <c r="Z65" s="7"/>
      <c r="AA65" s="7"/>
      <c r="AB65" s="8">
        <f t="shared" si="4"/>
        <v>24000000</v>
      </c>
      <c r="AC65" s="7"/>
      <c r="AD65" s="7"/>
      <c r="AE65" s="7"/>
      <c r="AF65" s="7"/>
      <c r="AG65" s="7"/>
      <c r="AH65" s="7"/>
      <c r="AI65" s="7"/>
      <c r="AJ65" s="7"/>
      <c r="AK65" s="7"/>
      <c r="AL65" s="7"/>
      <c r="AM65" s="7"/>
    </row>
    <row r="66" spans="1:39" ht="104.25" hidden="1" customHeight="1" x14ac:dyDescent="0.3">
      <c r="A66" s="7" t="s">
        <v>296</v>
      </c>
      <c r="B66" s="87" t="s">
        <v>213</v>
      </c>
      <c r="C66" s="164" t="s">
        <v>437</v>
      </c>
      <c r="D66" s="96" t="s">
        <v>232</v>
      </c>
      <c r="E66" s="7" t="s">
        <v>265</v>
      </c>
      <c r="F66" s="84">
        <v>80111600</v>
      </c>
      <c r="G66" s="103" t="s">
        <v>264</v>
      </c>
      <c r="H66" s="104">
        <v>1</v>
      </c>
      <c r="I66" s="104">
        <v>1</v>
      </c>
      <c r="J66" s="104">
        <v>11</v>
      </c>
      <c r="K66" s="104">
        <v>1</v>
      </c>
      <c r="L66" s="105" t="s">
        <v>45</v>
      </c>
      <c r="M66" s="7" t="s">
        <v>394</v>
      </c>
      <c r="N66" s="186">
        <f>3732548*11</f>
        <v>41058028</v>
      </c>
      <c r="O66" s="7">
        <v>0</v>
      </c>
      <c r="P66" s="7">
        <v>0</v>
      </c>
      <c r="Q66" s="7" t="s">
        <v>123</v>
      </c>
      <c r="R66" s="7" t="s">
        <v>122</v>
      </c>
      <c r="S66" s="121" t="s">
        <v>263</v>
      </c>
      <c r="T66" s="120">
        <v>3846666</v>
      </c>
      <c r="U66" s="94" t="s">
        <v>266</v>
      </c>
      <c r="V66" s="7" t="s">
        <v>120</v>
      </c>
      <c r="W66" s="106" t="s">
        <v>46</v>
      </c>
      <c r="X66" s="104" t="s">
        <v>263</v>
      </c>
      <c r="Y66" s="7"/>
      <c r="Z66" s="7"/>
      <c r="AA66" s="7"/>
      <c r="AB66" s="8">
        <f t="shared" si="4"/>
        <v>41058028</v>
      </c>
      <c r="AC66" s="7"/>
      <c r="AD66" s="7"/>
      <c r="AE66" s="7"/>
      <c r="AF66" s="7"/>
      <c r="AG66" s="7"/>
      <c r="AH66" s="7"/>
      <c r="AI66" s="7"/>
      <c r="AJ66" s="7"/>
      <c r="AK66" s="7"/>
      <c r="AL66" s="7"/>
      <c r="AM66" s="7"/>
    </row>
    <row r="67" spans="1:39" ht="104.25" hidden="1" customHeight="1" x14ac:dyDescent="0.3">
      <c r="A67" s="7" t="s">
        <v>297</v>
      </c>
      <c r="B67" s="87" t="s">
        <v>213</v>
      </c>
      <c r="C67" s="170" t="s">
        <v>267</v>
      </c>
      <c r="D67" s="95" t="s">
        <v>236</v>
      </c>
      <c r="E67" s="7" t="s">
        <v>268</v>
      </c>
      <c r="F67" s="91">
        <v>81112200</v>
      </c>
      <c r="G67" s="108" t="s">
        <v>269</v>
      </c>
      <c r="H67" s="93">
        <v>1</v>
      </c>
      <c r="I67" s="93">
        <v>1</v>
      </c>
      <c r="J67" s="93">
        <v>10</v>
      </c>
      <c r="K67" s="93">
        <v>1</v>
      </c>
      <c r="L67" s="97" t="s">
        <v>45</v>
      </c>
      <c r="M67" s="7" t="s">
        <v>394</v>
      </c>
      <c r="N67" s="185">
        <f>2400000*10</f>
        <v>24000000</v>
      </c>
      <c r="O67" s="7">
        <v>0</v>
      </c>
      <c r="P67" s="7">
        <v>0</v>
      </c>
      <c r="Q67" s="7" t="s">
        <v>123</v>
      </c>
      <c r="R67" s="7" t="s">
        <v>122</v>
      </c>
      <c r="S67" s="120" t="s">
        <v>260</v>
      </c>
      <c r="T67" s="120">
        <v>3846666</v>
      </c>
      <c r="U67" s="94" t="s">
        <v>261</v>
      </c>
      <c r="V67" s="7" t="s">
        <v>120</v>
      </c>
      <c r="W67" s="95" t="s">
        <v>46</v>
      </c>
      <c r="X67" s="95" t="s">
        <v>290</v>
      </c>
      <c r="Y67" s="7"/>
      <c r="Z67" s="7"/>
      <c r="AA67" s="7"/>
      <c r="AB67" s="8">
        <f t="shared" si="4"/>
        <v>24000000</v>
      </c>
      <c r="AC67" s="7"/>
      <c r="AD67" s="7"/>
      <c r="AE67" s="7"/>
      <c r="AF67" s="7"/>
      <c r="AG67" s="7"/>
      <c r="AH67" s="7"/>
      <c r="AI67" s="7"/>
      <c r="AJ67" s="7"/>
      <c r="AK67" s="7"/>
      <c r="AL67" s="7"/>
      <c r="AM67" s="7"/>
    </row>
    <row r="68" spans="1:39" ht="104.25" hidden="1" customHeight="1" x14ac:dyDescent="0.3">
      <c r="A68" s="7" t="s">
        <v>297</v>
      </c>
      <c r="B68" s="87" t="s">
        <v>213</v>
      </c>
      <c r="C68" s="170" t="s">
        <v>267</v>
      </c>
      <c r="D68" s="95" t="s">
        <v>236</v>
      </c>
      <c r="E68" s="7" t="s">
        <v>268</v>
      </c>
      <c r="F68" s="91">
        <v>81112200</v>
      </c>
      <c r="G68" s="108" t="s">
        <v>270</v>
      </c>
      <c r="H68" s="93">
        <v>1</v>
      </c>
      <c r="I68" s="93">
        <v>1</v>
      </c>
      <c r="J68" s="93">
        <v>10</v>
      </c>
      <c r="K68" s="93">
        <v>1</v>
      </c>
      <c r="L68" s="97" t="s">
        <v>45</v>
      </c>
      <c r="M68" s="7" t="s">
        <v>394</v>
      </c>
      <c r="N68" s="185">
        <f>2400000*10</f>
        <v>24000000</v>
      </c>
      <c r="O68" s="7">
        <v>0</v>
      </c>
      <c r="P68" s="7">
        <v>0</v>
      </c>
      <c r="Q68" s="7" t="s">
        <v>123</v>
      </c>
      <c r="R68" s="7" t="s">
        <v>122</v>
      </c>
      <c r="S68" s="120" t="s">
        <v>260</v>
      </c>
      <c r="T68" s="120">
        <v>3846666</v>
      </c>
      <c r="U68" s="94" t="s">
        <v>261</v>
      </c>
      <c r="V68" s="7" t="s">
        <v>120</v>
      </c>
      <c r="W68" s="95" t="s">
        <v>46</v>
      </c>
      <c r="X68" s="95" t="s">
        <v>290</v>
      </c>
      <c r="Y68" s="7"/>
      <c r="Z68" s="7"/>
      <c r="AA68" s="7"/>
      <c r="AB68" s="8">
        <f t="shared" si="4"/>
        <v>24000000</v>
      </c>
      <c r="AC68" s="7"/>
      <c r="AD68" s="7"/>
      <c r="AE68" s="7"/>
      <c r="AF68" s="7"/>
      <c r="AG68" s="7"/>
      <c r="AH68" s="7"/>
      <c r="AI68" s="7"/>
      <c r="AJ68" s="7"/>
      <c r="AK68" s="7"/>
      <c r="AL68" s="7"/>
      <c r="AM68" s="7"/>
    </row>
    <row r="69" spans="1:39" ht="104.25" hidden="1" customHeight="1" x14ac:dyDescent="0.3">
      <c r="A69" s="7" t="s">
        <v>297</v>
      </c>
      <c r="B69" s="87" t="s">
        <v>213</v>
      </c>
      <c r="C69" s="170" t="s">
        <v>267</v>
      </c>
      <c r="D69" s="95" t="s">
        <v>236</v>
      </c>
      <c r="E69" s="7" t="s">
        <v>268</v>
      </c>
      <c r="F69" s="91">
        <v>81112200</v>
      </c>
      <c r="G69" s="108" t="s">
        <v>271</v>
      </c>
      <c r="H69" s="93">
        <v>1</v>
      </c>
      <c r="I69" s="93">
        <v>1</v>
      </c>
      <c r="J69" s="93">
        <v>11</v>
      </c>
      <c r="K69" s="93">
        <v>1</v>
      </c>
      <c r="L69" s="7" t="s">
        <v>455</v>
      </c>
      <c r="M69" s="7" t="s">
        <v>394</v>
      </c>
      <c r="N69" s="185">
        <v>1500000</v>
      </c>
      <c r="O69" s="7">
        <v>0</v>
      </c>
      <c r="P69" s="7">
        <v>0</v>
      </c>
      <c r="Q69" s="7" t="s">
        <v>123</v>
      </c>
      <c r="R69" s="7" t="s">
        <v>122</v>
      </c>
      <c r="S69" s="120" t="s">
        <v>260</v>
      </c>
      <c r="T69" s="120">
        <v>3846666</v>
      </c>
      <c r="U69" s="94" t="s">
        <v>261</v>
      </c>
      <c r="V69" s="7" t="s">
        <v>120</v>
      </c>
      <c r="W69" s="95" t="s">
        <v>65</v>
      </c>
      <c r="X69" s="95" t="s">
        <v>291</v>
      </c>
      <c r="Y69" s="7"/>
      <c r="Z69" s="7"/>
      <c r="AA69" s="7"/>
      <c r="AB69" s="8">
        <f t="shared" ref="AB69:AB101" si="6">+N69+Y69+Z69-AA69</f>
        <v>1500000</v>
      </c>
      <c r="AC69" s="7"/>
      <c r="AD69" s="7"/>
      <c r="AE69" s="7"/>
      <c r="AF69" s="7"/>
      <c r="AG69" s="7"/>
      <c r="AH69" s="7"/>
      <c r="AI69" s="7"/>
      <c r="AJ69" s="7"/>
      <c r="AK69" s="7"/>
      <c r="AL69" s="7"/>
      <c r="AM69" s="7"/>
    </row>
    <row r="70" spans="1:39" ht="104.25" hidden="1" customHeight="1" x14ac:dyDescent="0.3">
      <c r="A70" s="7" t="s">
        <v>297</v>
      </c>
      <c r="B70" s="87" t="s">
        <v>213</v>
      </c>
      <c r="C70" s="170" t="s">
        <v>267</v>
      </c>
      <c r="D70" s="95" t="s">
        <v>236</v>
      </c>
      <c r="E70" s="7" t="s">
        <v>268</v>
      </c>
      <c r="F70" s="91">
        <v>43231513</v>
      </c>
      <c r="G70" s="109" t="s">
        <v>272</v>
      </c>
      <c r="H70" s="93">
        <v>10</v>
      </c>
      <c r="I70" s="93">
        <v>11</v>
      </c>
      <c r="J70" s="93">
        <v>1</v>
      </c>
      <c r="K70" s="93">
        <v>1</v>
      </c>
      <c r="L70" s="97" t="s">
        <v>287</v>
      </c>
      <c r="M70" s="7" t="s">
        <v>394</v>
      </c>
      <c r="N70" s="185">
        <v>4100000</v>
      </c>
      <c r="O70" s="7">
        <v>0</v>
      </c>
      <c r="P70" s="7">
        <v>0</v>
      </c>
      <c r="Q70" s="7" t="s">
        <v>123</v>
      </c>
      <c r="R70" s="7" t="s">
        <v>122</v>
      </c>
      <c r="S70" s="120" t="s">
        <v>260</v>
      </c>
      <c r="T70" s="120">
        <v>3846666</v>
      </c>
      <c r="U70" s="94" t="s">
        <v>261</v>
      </c>
      <c r="V70" s="7" t="s">
        <v>120</v>
      </c>
      <c r="W70" s="110" t="s">
        <v>288</v>
      </c>
      <c r="X70" s="95" t="s">
        <v>290</v>
      </c>
      <c r="Y70" s="7"/>
      <c r="Z70" s="7"/>
      <c r="AA70" s="7"/>
      <c r="AB70" s="8">
        <f t="shared" si="6"/>
        <v>4100000</v>
      </c>
      <c r="AC70" s="7"/>
      <c r="AD70" s="7"/>
      <c r="AE70" s="7"/>
      <c r="AF70" s="7"/>
      <c r="AG70" s="7"/>
      <c r="AH70" s="7"/>
      <c r="AI70" s="7"/>
      <c r="AJ70" s="7"/>
      <c r="AK70" s="7"/>
      <c r="AL70" s="7"/>
      <c r="AM70" s="7"/>
    </row>
    <row r="71" spans="1:39" ht="104.25" hidden="1" customHeight="1" x14ac:dyDescent="0.3">
      <c r="A71" s="7" t="s">
        <v>297</v>
      </c>
      <c r="B71" s="87" t="s">
        <v>213</v>
      </c>
      <c r="C71" s="170" t="s">
        <v>267</v>
      </c>
      <c r="D71" s="95" t="s">
        <v>236</v>
      </c>
      <c r="E71" s="7" t="s">
        <v>268</v>
      </c>
      <c r="F71" s="91">
        <v>43231513</v>
      </c>
      <c r="G71" s="109" t="s">
        <v>272</v>
      </c>
      <c r="H71" s="93">
        <v>10</v>
      </c>
      <c r="I71" s="93">
        <v>11</v>
      </c>
      <c r="J71" s="93">
        <v>1</v>
      </c>
      <c r="K71" s="93">
        <v>1</v>
      </c>
      <c r="L71" s="97" t="s">
        <v>287</v>
      </c>
      <c r="M71" s="7" t="s">
        <v>410</v>
      </c>
      <c r="N71" s="185">
        <v>35000000</v>
      </c>
      <c r="O71" s="7">
        <v>0</v>
      </c>
      <c r="P71" s="7">
        <v>0</v>
      </c>
      <c r="Q71" s="7" t="s">
        <v>123</v>
      </c>
      <c r="R71" s="7" t="s">
        <v>122</v>
      </c>
      <c r="S71" s="120" t="s">
        <v>260</v>
      </c>
      <c r="T71" s="120">
        <v>3846666</v>
      </c>
      <c r="U71" s="94" t="s">
        <v>261</v>
      </c>
      <c r="V71" s="7" t="s">
        <v>120</v>
      </c>
      <c r="W71" s="110" t="s">
        <v>288</v>
      </c>
      <c r="X71" s="95" t="s">
        <v>290</v>
      </c>
      <c r="Y71" s="7"/>
      <c r="Z71" s="7"/>
      <c r="AA71" s="7"/>
      <c r="AB71" s="8">
        <f t="shared" si="6"/>
        <v>35000000</v>
      </c>
      <c r="AC71" s="7"/>
      <c r="AD71" s="7"/>
      <c r="AE71" s="7"/>
      <c r="AF71" s="7"/>
      <c r="AG71" s="7"/>
      <c r="AH71" s="7"/>
      <c r="AI71" s="7"/>
      <c r="AJ71" s="7"/>
      <c r="AK71" s="7"/>
      <c r="AL71" s="7"/>
      <c r="AM71" s="7"/>
    </row>
    <row r="72" spans="1:39" ht="104.25" hidden="1" customHeight="1" x14ac:dyDescent="0.3">
      <c r="A72" s="7" t="s">
        <v>297</v>
      </c>
      <c r="B72" s="87" t="s">
        <v>213</v>
      </c>
      <c r="C72" s="170" t="s">
        <v>267</v>
      </c>
      <c r="D72" s="95" t="s">
        <v>236</v>
      </c>
      <c r="E72" s="7" t="s">
        <v>268</v>
      </c>
      <c r="F72" s="91">
        <v>81112501</v>
      </c>
      <c r="G72" s="109" t="s">
        <v>273</v>
      </c>
      <c r="H72" s="93">
        <v>5</v>
      </c>
      <c r="I72" s="93">
        <v>6</v>
      </c>
      <c r="J72" s="93">
        <v>1</v>
      </c>
      <c r="K72" s="93">
        <v>1</v>
      </c>
      <c r="L72" s="7" t="s">
        <v>455</v>
      </c>
      <c r="M72" s="7" t="s">
        <v>394</v>
      </c>
      <c r="N72" s="185">
        <f>23000000-4020740</f>
        <v>18979260</v>
      </c>
      <c r="O72" s="7">
        <v>0</v>
      </c>
      <c r="P72" s="7">
        <v>0</v>
      </c>
      <c r="Q72" s="7" t="s">
        <v>123</v>
      </c>
      <c r="R72" s="7" t="s">
        <v>122</v>
      </c>
      <c r="S72" s="120" t="s">
        <v>260</v>
      </c>
      <c r="T72" s="120">
        <v>3846666</v>
      </c>
      <c r="U72" s="94" t="s">
        <v>261</v>
      </c>
      <c r="V72" s="7" t="s">
        <v>120</v>
      </c>
      <c r="W72" s="111" t="s">
        <v>288</v>
      </c>
      <c r="X72" s="95" t="s">
        <v>292</v>
      </c>
      <c r="Y72" s="7"/>
      <c r="Z72" s="7"/>
      <c r="AA72" s="7"/>
      <c r="AB72" s="8">
        <f t="shared" si="6"/>
        <v>18979260</v>
      </c>
      <c r="AC72" s="7"/>
      <c r="AD72" s="7"/>
      <c r="AE72" s="7"/>
      <c r="AF72" s="7"/>
      <c r="AG72" s="7"/>
      <c r="AH72" s="7"/>
      <c r="AI72" s="7"/>
      <c r="AJ72" s="7"/>
      <c r="AK72" s="7"/>
      <c r="AL72" s="7"/>
      <c r="AM72" s="7"/>
    </row>
    <row r="73" spans="1:39" ht="104.25" hidden="1" customHeight="1" x14ac:dyDescent="0.3">
      <c r="A73" s="7" t="s">
        <v>297</v>
      </c>
      <c r="B73" s="87" t="s">
        <v>213</v>
      </c>
      <c r="C73" s="170" t="s">
        <v>267</v>
      </c>
      <c r="D73" s="95" t="s">
        <v>236</v>
      </c>
      <c r="E73" s="7" t="s">
        <v>268</v>
      </c>
      <c r="F73" s="91">
        <v>81112501</v>
      </c>
      <c r="G73" s="109" t="s">
        <v>273</v>
      </c>
      <c r="H73" s="93">
        <v>5</v>
      </c>
      <c r="I73" s="93">
        <v>6</v>
      </c>
      <c r="J73" s="93">
        <v>1</v>
      </c>
      <c r="K73" s="93">
        <v>1</v>
      </c>
      <c r="L73" s="7" t="s">
        <v>455</v>
      </c>
      <c r="M73" s="7" t="s">
        <v>410</v>
      </c>
      <c r="N73" s="185">
        <v>4020740</v>
      </c>
      <c r="O73" s="7">
        <v>0</v>
      </c>
      <c r="P73" s="7">
        <v>0</v>
      </c>
      <c r="Q73" s="7" t="s">
        <v>123</v>
      </c>
      <c r="R73" s="7" t="s">
        <v>122</v>
      </c>
      <c r="S73" s="120" t="s">
        <v>260</v>
      </c>
      <c r="T73" s="120">
        <v>3846666</v>
      </c>
      <c r="U73" s="94" t="s">
        <v>261</v>
      </c>
      <c r="V73" s="7" t="s">
        <v>120</v>
      </c>
      <c r="W73" s="111" t="s">
        <v>288</v>
      </c>
      <c r="X73" s="95" t="s">
        <v>292</v>
      </c>
      <c r="Y73" s="7"/>
      <c r="Z73" s="7"/>
      <c r="AA73" s="7"/>
      <c r="AB73" s="8">
        <f t="shared" si="6"/>
        <v>4020740</v>
      </c>
      <c r="AC73" s="7"/>
      <c r="AD73" s="7"/>
      <c r="AE73" s="7"/>
      <c r="AF73" s="7"/>
      <c r="AG73" s="7"/>
      <c r="AH73" s="7"/>
      <c r="AI73" s="7"/>
      <c r="AJ73" s="7"/>
      <c r="AK73" s="7"/>
      <c r="AL73" s="7"/>
      <c r="AM73" s="7"/>
    </row>
    <row r="74" spans="1:39" ht="104.25" hidden="1" customHeight="1" x14ac:dyDescent="0.3">
      <c r="A74" s="7" t="s">
        <v>297</v>
      </c>
      <c r="B74" s="87" t="s">
        <v>213</v>
      </c>
      <c r="C74" s="170" t="s">
        <v>267</v>
      </c>
      <c r="D74" s="95" t="s">
        <v>236</v>
      </c>
      <c r="E74" s="7" t="s">
        <v>268</v>
      </c>
      <c r="F74" s="91">
        <v>81112100</v>
      </c>
      <c r="G74" s="108" t="s">
        <v>274</v>
      </c>
      <c r="H74" s="93">
        <v>3</v>
      </c>
      <c r="I74" s="93">
        <v>3</v>
      </c>
      <c r="J74" s="93">
        <v>11</v>
      </c>
      <c r="K74" s="93">
        <v>1</v>
      </c>
      <c r="L74" s="97" t="s">
        <v>91</v>
      </c>
      <c r="M74" s="7" t="s">
        <v>394</v>
      </c>
      <c r="N74" s="185">
        <v>56000000</v>
      </c>
      <c r="O74" s="7">
        <v>0</v>
      </c>
      <c r="P74" s="7">
        <v>0</v>
      </c>
      <c r="Q74" s="7" t="s">
        <v>123</v>
      </c>
      <c r="R74" s="7" t="s">
        <v>122</v>
      </c>
      <c r="S74" s="120" t="s">
        <v>260</v>
      </c>
      <c r="T74" s="120">
        <v>3846666</v>
      </c>
      <c r="U74" s="94" t="s">
        <v>261</v>
      </c>
      <c r="V74" s="7" t="s">
        <v>120</v>
      </c>
      <c r="W74" s="95" t="s">
        <v>65</v>
      </c>
      <c r="X74" s="95" t="s">
        <v>290</v>
      </c>
      <c r="Y74" s="7"/>
      <c r="Z74" s="7"/>
      <c r="AA74" s="7"/>
      <c r="AB74" s="8">
        <f t="shared" si="6"/>
        <v>56000000</v>
      </c>
      <c r="AC74" s="7"/>
      <c r="AD74" s="7"/>
      <c r="AE74" s="7"/>
      <c r="AF74" s="7"/>
      <c r="AG74" s="7"/>
      <c r="AH74" s="7"/>
      <c r="AI74" s="7"/>
      <c r="AJ74" s="7"/>
      <c r="AK74" s="7"/>
      <c r="AL74" s="7"/>
      <c r="AM74" s="7"/>
    </row>
    <row r="75" spans="1:39" ht="104.25" hidden="1" customHeight="1" x14ac:dyDescent="0.3">
      <c r="A75" s="7" t="s">
        <v>297</v>
      </c>
      <c r="B75" s="87" t="s">
        <v>213</v>
      </c>
      <c r="C75" s="170" t="s">
        <v>267</v>
      </c>
      <c r="D75" s="95" t="s">
        <v>236</v>
      </c>
      <c r="E75" s="7" t="s">
        <v>268</v>
      </c>
      <c r="F75" s="91">
        <v>81112215</v>
      </c>
      <c r="G75" s="109" t="s">
        <v>275</v>
      </c>
      <c r="H75" s="93">
        <v>1</v>
      </c>
      <c r="I75" s="93">
        <v>1</v>
      </c>
      <c r="J75" s="93">
        <v>10</v>
      </c>
      <c r="K75" s="93">
        <v>1</v>
      </c>
      <c r="L75" s="97" t="s">
        <v>45</v>
      </c>
      <c r="M75" s="7" t="s">
        <v>394</v>
      </c>
      <c r="N75" s="185">
        <f>2950000*10</f>
        <v>29500000</v>
      </c>
      <c r="O75" s="7">
        <v>0</v>
      </c>
      <c r="P75" s="7">
        <v>0</v>
      </c>
      <c r="Q75" s="7" t="s">
        <v>123</v>
      </c>
      <c r="R75" s="7" t="s">
        <v>122</v>
      </c>
      <c r="S75" s="120" t="s">
        <v>260</v>
      </c>
      <c r="T75" s="120">
        <v>3846666</v>
      </c>
      <c r="U75" s="94" t="s">
        <v>261</v>
      </c>
      <c r="V75" s="7" t="s">
        <v>120</v>
      </c>
      <c r="W75" s="95" t="s">
        <v>46</v>
      </c>
      <c r="X75" s="95" t="s">
        <v>290</v>
      </c>
      <c r="Y75" s="7"/>
      <c r="Z75" s="7"/>
      <c r="AA75" s="7"/>
      <c r="AB75" s="8">
        <f t="shared" si="6"/>
        <v>29500000</v>
      </c>
      <c r="AC75" s="7"/>
      <c r="AD75" s="7"/>
      <c r="AE75" s="7"/>
      <c r="AF75" s="7"/>
      <c r="AG75" s="7"/>
      <c r="AH75" s="7"/>
      <c r="AI75" s="7"/>
      <c r="AJ75" s="7"/>
      <c r="AK75" s="7"/>
      <c r="AL75" s="7"/>
      <c r="AM75" s="7"/>
    </row>
    <row r="76" spans="1:39" ht="104.25" hidden="1" customHeight="1" x14ac:dyDescent="0.3">
      <c r="A76" s="7" t="s">
        <v>297</v>
      </c>
      <c r="B76" s="87" t="s">
        <v>213</v>
      </c>
      <c r="C76" s="170" t="s">
        <v>267</v>
      </c>
      <c r="D76" s="95" t="s">
        <v>237</v>
      </c>
      <c r="E76" s="7" t="s">
        <v>268</v>
      </c>
      <c r="F76" s="91">
        <v>81111812</v>
      </c>
      <c r="G76" s="109" t="s">
        <v>276</v>
      </c>
      <c r="H76" s="93">
        <v>6</v>
      </c>
      <c r="I76" s="93">
        <v>6</v>
      </c>
      <c r="J76" s="93">
        <v>6</v>
      </c>
      <c r="K76" s="93">
        <v>1</v>
      </c>
      <c r="L76" s="7" t="s">
        <v>455</v>
      </c>
      <c r="M76" s="7" t="s">
        <v>394</v>
      </c>
      <c r="N76" s="185">
        <v>3450000</v>
      </c>
      <c r="O76" s="7">
        <v>0</v>
      </c>
      <c r="P76" s="7">
        <v>0</v>
      </c>
      <c r="Q76" s="7" t="s">
        <v>123</v>
      </c>
      <c r="R76" s="7" t="s">
        <v>122</v>
      </c>
      <c r="S76" s="120" t="s">
        <v>260</v>
      </c>
      <c r="T76" s="120">
        <v>3846666</v>
      </c>
      <c r="U76" s="94" t="s">
        <v>261</v>
      </c>
      <c r="V76" s="7" t="s">
        <v>120</v>
      </c>
      <c r="W76" s="95" t="s">
        <v>65</v>
      </c>
      <c r="X76" s="95" t="s">
        <v>293</v>
      </c>
      <c r="Y76" s="7"/>
      <c r="Z76" s="7"/>
      <c r="AA76" s="7"/>
      <c r="AB76" s="8">
        <f t="shared" si="6"/>
        <v>3450000</v>
      </c>
      <c r="AC76" s="7"/>
      <c r="AD76" s="7"/>
      <c r="AE76" s="7"/>
      <c r="AF76" s="7"/>
      <c r="AG76" s="7"/>
      <c r="AH76" s="7"/>
      <c r="AI76" s="7"/>
      <c r="AJ76" s="7"/>
      <c r="AK76" s="7"/>
      <c r="AL76" s="7"/>
      <c r="AM76" s="7"/>
    </row>
    <row r="77" spans="1:39" ht="104.25" hidden="1" customHeight="1" x14ac:dyDescent="0.3">
      <c r="A77" s="7" t="s">
        <v>297</v>
      </c>
      <c r="B77" s="87" t="s">
        <v>213</v>
      </c>
      <c r="C77" s="170" t="s">
        <v>267</v>
      </c>
      <c r="D77" s="95" t="s">
        <v>237</v>
      </c>
      <c r="E77" s="7" t="s">
        <v>268</v>
      </c>
      <c r="F77" s="91" t="s">
        <v>430</v>
      </c>
      <c r="G77" s="109" t="s">
        <v>277</v>
      </c>
      <c r="H77" s="93">
        <v>5</v>
      </c>
      <c r="I77" s="93">
        <v>6</v>
      </c>
      <c r="J77" s="93">
        <v>6</v>
      </c>
      <c r="K77" s="93">
        <v>1</v>
      </c>
      <c r="L77" s="7" t="s">
        <v>455</v>
      </c>
      <c r="M77" s="7" t="s">
        <v>394</v>
      </c>
      <c r="N77" s="185">
        <v>5400000</v>
      </c>
      <c r="O77" s="7">
        <v>0</v>
      </c>
      <c r="P77" s="7">
        <v>0</v>
      </c>
      <c r="Q77" s="7" t="s">
        <v>123</v>
      </c>
      <c r="R77" s="7" t="s">
        <v>122</v>
      </c>
      <c r="S77" s="120" t="s">
        <v>260</v>
      </c>
      <c r="T77" s="120">
        <v>3846666</v>
      </c>
      <c r="U77" s="94" t="s">
        <v>261</v>
      </c>
      <c r="V77" s="7" t="s">
        <v>120</v>
      </c>
      <c r="W77" s="95" t="s">
        <v>65</v>
      </c>
      <c r="X77" s="95" t="s">
        <v>293</v>
      </c>
      <c r="Y77" s="7"/>
      <c r="Z77" s="7"/>
      <c r="AA77" s="7"/>
      <c r="AB77" s="8">
        <f t="shared" si="6"/>
        <v>5400000</v>
      </c>
      <c r="AC77" s="7"/>
      <c r="AD77" s="7"/>
      <c r="AE77" s="7"/>
      <c r="AF77" s="7"/>
      <c r="AG77" s="7"/>
      <c r="AH77" s="7"/>
      <c r="AI77" s="7"/>
      <c r="AJ77" s="7"/>
      <c r="AK77" s="7"/>
      <c r="AL77" s="7"/>
      <c r="AM77" s="7"/>
    </row>
    <row r="78" spans="1:39" ht="104.25" hidden="1" customHeight="1" x14ac:dyDescent="0.3">
      <c r="A78" s="7" t="s">
        <v>297</v>
      </c>
      <c r="B78" s="87" t="s">
        <v>213</v>
      </c>
      <c r="C78" s="170" t="s">
        <v>267</v>
      </c>
      <c r="D78" s="95" t="s">
        <v>237</v>
      </c>
      <c r="E78" s="7" t="s">
        <v>268</v>
      </c>
      <c r="F78" s="92">
        <v>43233205</v>
      </c>
      <c r="G78" s="109" t="s">
        <v>278</v>
      </c>
      <c r="H78" s="93">
        <v>6</v>
      </c>
      <c r="I78" s="93">
        <v>6</v>
      </c>
      <c r="J78" s="93">
        <v>1</v>
      </c>
      <c r="K78" s="93">
        <v>1</v>
      </c>
      <c r="L78" s="7" t="s">
        <v>455</v>
      </c>
      <c r="M78" s="7" t="s">
        <v>394</v>
      </c>
      <c r="N78" s="185">
        <v>14500000</v>
      </c>
      <c r="O78" s="7">
        <v>0</v>
      </c>
      <c r="P78" s="7">
        <v>0</v>
      </c>
      <c r="Q78" s="7" t="s">
        <v>123</v>
      </c>
      <c r="R78" s="7" t="s">
        <v>122</v>
      </c>
      <c r="S78" s="120" t="s">
        <v>260</v>
      </c>
      <c r="T78" s="120">
        <v>3846666</v>
      </c>
      <c r="U78" s="94" t="s">
        <v>261</v>
      </c>
      <c r="V78" s="7" t="s">
        <v>120</v>
      </c>
      <c r="W78" s="111" t="s">
        <v>289</v>
      </c>
      <c r="X78" s="95" t="s">
        <v>292</v>
      </c>
      <c r="Y78" s="7"/>
      <c r="Z78" s="7"/>
      <c r="AA78" s="7"/>
      <c r="AB78" s="8">
        <f t="shared" si="6"/>
        <v>14500000</v>
      </c>
      <c r="AC78" s="7"/>
      <c r="AD78" s="7"/>
      <c r="AE78" s="7"/>
      <c r="AF78" s="7"/>
      <c r="AG78" s="7"/>
      <c r="AH78" s="7"/>
      <c r="AI78" s="7"/>
      <c r="AJ78" s="7"/>
      <c r="AK78" s="7"/>
      <c r="AL78" s="7"/>
      <c r="AM78" s="7"/>
    </row>
    <row r="79" spans="1:39" ht="104.25" hidden="1" customHeight="1" x14ac:dyDescent="0.3">
      <c r="A79" s="7" t="s">
        <v>297</v>
      </c>
      <c r="B79" s="87" t="s">
        <v>213</v>
      </c>
      <c r="C79" s="170" t="s">
        <v>267</v>
      </c>
      <c r="D79" s="95" t="s">
        <v>237</v>
      </c>
      <c r="E79" s="7" t="s">
        <v>268</v>
      </c>
      <c r="F79" s="112">
        <v>81112200</v>
      </c>
      <c r="G79" s="109" t="s">
        <v>279</v>
      </c>
      <c r="H79" s="93">
        <v>5</v>
      </c>
      <c r="I79" s="93">
        <v>6</v>
      </c>
      <c r="J79" s="93" t="s">
        <v>461</v>
      </c>
      <c r="K79" s="7">
        <v>0</v>
      </c>
      <c r="L79" s="7" t="s">
        <v>455</v>
      </c>
      <c r="M79" s="7" t="s">
        <v>394</v>
      </c>
      <c r="N79" s="185">
        <f>15000000-14369735</f>
        <v>630265</v>
      </c>
      <c r="O79" s="7">
        <v>0</v>
      </c>
      <c r="P79" s="7">
        <v>0</v>
      </c>
      <c r="Q79" s="7" t="s">
        <v>123</v>
      </c>
      <c r="R79" s="7" t="s">
        <v>122</v>
      </c>
      <c r="S79" s="120" t="s">
        <v>260</v>
      </c>
      <c r="T79" s="120">
        <v>3846666</v>
      </c>
      <c r="U79" s="94" t="s">
        <v>261</v>
      </c>
      <c r="V79" s="7" t="s">
        <v>120</v>
      </c>
      <c r="W79" s="110" t="s">
        <v>288</v>
      </c>
      <c r="X79" s="95" t="s">
        <v>293</v>
      </c>
      <c r="Y79" s="7"/>
      <c r="Z79" s="7"/>
      <c r="AA79" s="7"/>
      <c r="AB79" s="8">
        <f t="shared" si="6"/>
        <v>630265</v>
      </c>
      <c r="AC79" s="7"/>
      <c r="AD79" s="7"/>
      <c r="AE79" s="7"/>
      <c r="AF79" s="7"/>
      <c r="AG79" s="7"/>
      <c r="AH79" s="7"/>
      <c r="AI79" s="7"/>
      <c r="AJ79" s="7"/>
      <c r="AK79" s="7"/>
      <c r="AL79" s="7"/>
      <c r="AM79" s="7"/>
    </row>
    <row r="80" spans="1:39" ht="104.25" hidden="1" customHeight="1" x14ac:dyDescent="0.3">
      <c r="A80" s="7" t="s">
        <v>297</v>
      </c>
      <c r="B80" s="87" t="s">
        <v>213</v>
      </c>
      <c r="C80" s="170" t="s">
        <v>267</v>
      </c>
      <c r="D80" s="95" t="s">
        <v>237</v>
      </c>
      <c r="E80" s="7" t="s">
        <v>268</v>
      </c>
      <c r="F80" s="112">
        <v>81112200</v>
      </c>
      <c r="G80" s="109" t="s">
        <v>279</v>
      </c>
      <c r="H80" s="93">
        <v>5</v>
      </c>
      <c r="I80" s="93">
        <v>6</v>
      </c>
      <c r="J80" s="93" t="s">
        <v>461</v>
      </c>
      <c r="K80" s="7">
        <v>0</v>
      </c>
      <c r="L80" s="7" t="s">
        <v>455</v>
      </c>
      <c r="M80" s="7" t="s">
        <v>411</v>
      </c>
      <c r="N80" s="185">
        <v>14369735</v>
      </c>
      <c r="O80" s="7">
        <v>0</v>
      </c>
      <c r="P80" s="7">
        <v>0</v>
      </c>
      <c r="Q80" s="7" t="s">
        <v>123</v>
      </c>
      <c r="R80" s="7" t="s">
        <v>122</v>
      </c>
      <c r="S80" s="120" t="s">
        <v>260</v>
      </c>
      <c r="T80" s="120">
        <v>3846666</v>
      </c>
      <c r="U80" s="94" t="s">
        <v>261</v>
      </c>
      <c r="V80" s="7" t="s">
        <v>120</v>
      </c>
      <c r="W80" s="110" t="s">
        <v>288</v>
      </c>
      <c r="X80" s="95" t="s">
        <v>293</v>
      </c>
      <c r="Y80" s="7"/>
      <c r="Z80" s="7"/>
      <c r="AA80" s="7"/>
      <c r="AB80" s="8">
        <f t="shared" si="6"/>
        <v>14369735</v>
      </c>
      <c r="AC80" s="7"/>
      <c r="AD80" s="7"/>
      <c r="AE80" s="7"/>
      <c r="AF80" s="7"/>
      <c r="AG80" s="7"/>
      <c r="AH80" s="7"/>
      <c r="AI80" s="7"/>
      <c r="AJ80" s="7"/>
      <c r="AK80" s="7"/>
      <c r="AL80" s="7"/>
      <c r="AM80" s="7"/>
    </row>
    <row r="81" spans="1:39" ht="104.25" hidden="1" customHeight="1" x14ac:dyDescent="0.3">
      <c r="A81" s="7" t="s">
        <v>297</v>
      </c>
      <c r="B81" s="87" t="s">
        <v>213</v>
      </c>
      <c r="C81" s="170" t="s">
        <v>267</v>
      </c>
      <c r="D81" s="95" t="s">
        <v>237</v>
      </c>
      <c r="E81" s="7" t="s">
        <v>268</v>
      </c>
      <c r="F81" s="113">
        <v>81112200</v>
      </c>
      <c r="G81" s="109" t="s">
        <v>280</v>
      </c>
      <c r="H81" s="93">
        <v>1</v>
      </c>
      <c r="I81" s="93">
        <v>1</v>
      </c>
      <c r="J81" s="93">
        <v>11</v>
      </c>
      <c r="K81" s="93">
        <v>1</v>
      </c>
      <c r="L81" s="7" t="s">
        <v>455</v>
      </c>
      <c r="M81" s="7" t="s">
        <v>394</v>
      </c>
      <c r="N81" s="185">
        <v>24000000</v>
      </c>
      <c r="O81" s="7">
        <v>0</v>
      </c>
      <c r="P81" s="7">
        <v>0</v>
      </c>
      <c r="Q81" s="7" t="s">
        <v>123</v>
      </c>
      <c r="R81" s="7" t="s">
        <v>122</v>
      </c>
      <c r="S81" s="120" t="s">
        <v>260</v>
      </c>
      <c r="T81" s="120">
        <v>3846666</v>
      </c>
      <c r="U81" s="94" t="s">
        <v>261</v>
      </c>
      <c r="V81" s="7" t="s">
        <v>120</v>
      </c>
      <c r="W81" s="95" t="s">
        <v>65</v>
      </c>
      <c r="X81" s="95" t="s">
        <v>293</v>
      </c>
      <c r="Y81" s="7"/>
      <c r="Z81" s="7"/>
      <c r="AA81" s="7"/>
      <c r="AB81" s="8">
        <f t="shared" si="6"/>
        <v>24000000</v>
      </c>
      <c r="AC81" s="7"/>
      <c r="AD81" s="7"/>
      <c r="AE81" s="7"/>
      <c r="AF81" s="7"/>
      <c r="AG81" s="7"/>
      <c r="AH81" s="7"/>
      <c r="AI81" s="7"/>
      <c r="AJ81" s="7"/>
      <c r="AK81" s="7"/>
      <c r="AL81" s="7"/>
      <c r="AM81" s="7"/>
    </row>
    <row r="82" spans="1:39" ht="104.25" hidden="1" customHeight="1" x14ac:dyDescent="0.3">
      <c r="A82" s="7" t="s">
        <v>297</v>
      </c>
      <c r="B82" s="87" t="s">
        <v>213</v>
      </c>
      <c r="C82" s="170" t="s">
        <v>267</v>
      </c>
      <c r="D82" s="95" t="s">
        <v>237</v>
      </c>
      <c r="E82" s="7" t="s">
        <v>268</v>
      </c>
      <c r="F82" s="113">
        <v>81112220</v>
      </c>
      <c r="G82" s="109" t="s">
        <v>281</v>
      </c>
      <c r="H82" s="93">
        <v>5</v>
      </c>
      <c r="I82" s="93">
        <v>6</v>
      </c>
      <c r="J82" s="93">
        <v>6</v>
      </c>
      <c r="K82" s="93">
        <v>1</v>
      </c>
      <c r="L82" s="7" t="s">
        <v>455</v>
      </c>
      <c r="M82" s="7" t="s">
        <v>394</v>
      </c>
      <c r="N82" s="185">
        <v>5000000</v>
      </c>
      <c r="O82" s="7">
        <v>0</v>
      </c>
      <c r="P82" s="7">
        <v>0</v>
      </c>
      <c r="Q82" s="7" t="s">
        <v>123</v>
      </c>
      <c r="R82" s="7" t="s">
        <v>122</v>
      </c>
      <c r="S82" s="120" t="s">
        <v>260</v>
      </c>
      <c r="T82" s="120">
        <v>3846666</v>
      </c>
      <c r="U82" s="94" t="s">
        <v>261</v>
      </c>
      <c r="V82" s="7" t="s">
        <v>120</v>
      </c>
      <c r="W82" s="95" t="s">
        <v>65</v>
      </c>
      <c r="X82" s="95" t="s">
        <v>293</v>
      </c>
      <c r="Y82" s="7"/>
      <c r="Z82" s="7"/>
      <c r="AA82" s="7"/>
      <c r="AB82" s="8">
        <f t="shared" si="6"/>
        <v>5000000</v>
      </c>
      <c r="AC82" s="7"/>
      <c r="AD82" s="7"/>
      <c r="AE82" s="7"/>
      <c r="AF82" s="7"/>
      <c r="AG82" s="7"/>
      <c r="AH82" s="7"/>
      <c r="AI82" s="7"/>
      <c r="AJ82" s="7"/>
      <c r="AK82" s="7"/>
      <c r="AL82" s="7"/>
      <c r="AM82" s="7"/>
    </row>
    <row r="83" spans="1:39" ht="104.25" hidden="1" customHeight="1" x14ac:dyDescent="0.3">
      <c r="A83" s="7" t="s">
        <v>297</v>
      </c>
      <c r="B83" s="87" t="s">
        <v>213</v>
      </c>
      <c r="C83" s="170" t="s">
        <v>267</v>
      </c>
      <c r="D83" s="95" t="s">
        <v>237</v>
      </c>
      <c r="E83" s="7" t="s">
        <v>268</v>
      </c>
      <c r="F83" s="113">
        <v>83121700</v>
      </c>
      <c r="G83" s="109" t="s">
        <v>282</v>
      </c>
      <c r="H83" s="93">
        <v>5</v>
      </c>
      <c r="I83" s="93">
        <v>6</v>
      </c>
      <c r="J83" s="93">
        <v>6</v>
      </c>
      <c r="K83" s="93">
        <v>1</v>
      </c>
      <c r="L83" s="7" t="s">
        <v>455</v>
      </c>
      <c r="M83" s="7" t="s">
        <v>394</v>
      </c>
      <c r="N83" s="185">
        <v>10000000</v>
      </c>
      <c r="O83" s="7">
        <v>0</v>
      </c>
      <c r="P83" s="7">
        <v>0</v>
      </c>
      <c r="Q83" s="7" t="s">
        <v>123</v>
      </c>
      <c r="R83" s="7" t="s">
        <v>122</v>
      </c>
      <c r="S83" s="120" t="s">
        <v>260</v>
      </c>
      <c r="T83" s="120">
        <v>3846666</v>
      </c>
      <c r="U83" s="94" t="s">
        <v>261</v>
      </c>
      <c r="V83" s="7" t="s">
        <v>120</v>
      </c>
      <c r="W83" s="95" t="s">
        <v>65</v>
      </c>
      <c r="X83" s="95" t="s">
        <v>293</v>
      </c>
      <c r="Y83" s="7"/>
      <c r="Z83" s="7"/>
      <c r="AA83" s="7"/>
      <c r="AB83" s="8">
        <f t="shared" si="6"/>
        <v>10000000</v>
      </c>
      <c r="AC83" s="7"/>
      <c r="AD83" s="7"/>
      <c r="AE83" s="7"/>
      <c r="AF83" s="7"/>
      <c r="AG83" s="7"/>
      <c r="AH83" s="7"/>
      <c r="AI83" s="7"/>
      <c r="AJ83" s="7"/>
      <c r="AK83" s="7"/>
      <c r="AL83" s="7"/>
      <c r="AM83" s="7"/>
    </row>
    <row r="84" spans="1:39" ht="104.25" hidden="1" customHeight="1" x14ac:dyDescent="0.3">
      <c r="A84" s="7" t="s">
        <v>297</v>
      </c>
      <c r="B84" s="87" t="s">
        <v>213</v>
      </c>
      <c r="C84" s="170" t="s">
        <v>267</v>
      </c>
      <c r="D84" s="95" t="s">
        <v>237</v>
      </c>
      <c r="E84" s="7" t="s">
        <v>268</v>
      </c>
      <c r="F84" s="113">
        <v>81112200</v>
      </c>
      <c r="G84" s="109" t="s">
        <v>283</v>
      </c>
      <c r="H84" s="93">
        <v>5</v>
      </c>
      <c r="I84" s="93">
        <v>5</v>
      </c>
      <c r="J84" s="93">
        <v>7</v>
      </c>
      <c r="K84" s="93">
        <v>1</v>
      </c>
      <c r="L84" s="7" t="s">
        <v>455</v>
      </c>
      <c r="M84" s="7" t="s">
        <v>394</v>
      </c>
      <c r="N84" s="185">
        <v>5000000</v>
      </c>
      <c r="O84" s="7">
        <v>0</v>
      </c>
      <c r="P84" s="7">
        <v>0</v>
      </c>
      <c r="Q84" s="7" t="s">
        <v>123</v>
      </c>
      <c r="R84" s="7" t="s">
        <v>122</v>
      </c>
      <c r="S84" s="120" t="s">
        <v>260</v>
      </c>
      <c r="T84" s="120">
        <v>3846666</v>
      </c>
      <c r="U84" s="94" t="s">
        <v>261</v>
      </c>
      <c r="V84" s="7" t="s">
        <v>120</v>
      </c>
      <c r="W84" s="95" t="s">
        <v>65</v>
      </c>
      <c r="X84" s="95" t="s">
        <v>293</v>
      </c>
      <c r="Y84" s="7"/>
      <c r="Z84" s="7"/>
      <c r="AA84" s="7"/>
      <c r="AB84" s="8">
        <f t="shared" si="6"/>
        <v>5000000</v>
      </c>
      <c r="AC84" s="7"/>
      <c r="AD84" s="7"/>
      <c r="AE84" s="7"/>
      <c r="AF84" s="7"/>
      <c r="AG84" s="7"/>
      <c r="AH84" s="7"/>
      <c r="AI84" s="7"/>
      <c r="AJ84" s="7"/>
      <c r="AK84" s="7"/>
      <c r="AL84" s="7"/>
      <c r="AM84" s="7"/>
    </row>
    <row r="85" spans="1:39" ht="104.25" hidden="1" customHeight="1" x14ac:dyDescent="0.3">
      <c r="A85" s="7" t="s">
        <v>297</v>
      </c>
      <c r="B85" s="87" t="s">
        <v>213</v>
      </c>
      <c r="C85" s="170" t="s">
        <v>267</v>
      </c>
      <c r="D85" s="95" t="s">
        <v>237</v>
      </c>
      <c r="E85" s="7" t="s">
        <v>268</v>
      </c>
      <c r="F85" s="113">
        <v>81112200</v>
      </c>
      <c r="G85" s="114" t="s">
        <v>284</v>
      </c>
      <c r="H85" s="93">
        <v>5</v>
      </c>
      <c r="I85" s="93">
        <v>5</v>
      </c>
      <c r="J85" s="93">
        <v>7</v>
      </c>
      <c r="K85" s="93">
        <v>1</v>
      </c>
      <c r="L85" s="7" t="s">
        <v>455</v>
      </c>
      <c r="M85" s="7" t="s">
        <v>394</v>
      </c>
      <c r="N85" s="187">
        <v>5000000</v>
      </c>
      <c r="O85" s="7">
        <v>0</v>
      </c>
      <c r="P85" s="7">
        <v>0</v>
      </c>
      <c r="Q85" s="7" t="s">
        <v>123</v>
      </c>
      <c r="R85" s="7" t="s">
        <v>122</v>
      </c>
      <c r="S85" s="120" t="s">
        <v>260</v>
      </c>
      <c r="T85" s="120">
        <v>3846666</v>
      </c>
      <c r="U85" s="94" t="s">
        <v>261</v>
      </c>
      <c r="V85" s="7" t="s">
        <v>120</v>
      </c>
      <c r="W85" s="95" t="s">
        <v>65</v>
      </c>
      <c r="X85" s="95" t="s">
        <v>293</v>
      </c>
      <c r="Y85" s="7"/>
      <c r="Z85" s="7"/>
      <c r="AA85" s="7"/>
      <c r="AB85" s="8">
        <f t="shared" si="6"/>
        <v>5000000</v>
      </c>
      <c r="AC85" s="7"/>
      <c r="AD85" s="7"/>
      <c r="AE85" s="7"/>
      <c r="AF85" s="7"/>
      <c r="AG85" s="7"/>
      <c r="AH85" s="7"/>
      <c r="AI85" s="7"/>
      <c r="AJ85" s="7"/>
      <c r="AK85" s="7"/>
      <c r="AL85" s="7"/>
      <c r="AM85" s="7"/>
    </row>
    <row r="86" spans="1:39" ht="104.25" hidden="1" customHeight="1" x14ac:dyDescent="0.3">
      <c r="A86" s="7" t="s">
        <v>297</v>
      </c>
      <c r="B86" s="87" t="s">
        <v>213</v>
      </c>
      <c r="C86" s="170" t="s">
        <v>267</v>
      </c>
      <c r="D86" s="95" t="s">
        <v>237</v>
      </c>
      <c r="E86" s="7" t="s">
        <v>268</v>
      </c>
      <c r="F86" s="91">
        <v>80111600</v>
      </c>
      <c r="G86" s="97" t="s">
        <v>285</v>
      </c>
      <c r="H86" s="93">
        <v>1</v>
      </c>
      <c r="I86" s="93">
        <v>1</v>
      </c>
      <c r="J86" s="93">
        <v>11</v>
      </c>
      <c r="K86" s="93">
        <v>1</v>
      </c>
      <c r="L86" s="105" t="s">
        <v>45</v>
      </c>
      <c r="M86" s="7" t="s">
        <v>394</v>
      </c>
      <c r="N86" s="185">
        <f>2000000*11</f>
        <v>22000000</v>
      </c>
      <c r="O86" s="7">
        <v>0</v>
      </c>
      <c r="P86" s="7">
        <v>0</v>
      </c>
      <c r="Q86" s="7" t="s">
        <v>123</v>
      </c>
      <c r="R86" s="7" t="s">
        <v>122</v>
      </c>
      <c r="S86" s="120" t="s">
        <v>260</v>
      </c>
      <c r="T86" s="120">
        <v>3846666</v>
      </c>
      <c r="U86" s="94" t="s">
        <v>261</v>
      </c>
      <c r="V86" s="7" t="s">
        <v>120</v>
      </c>
      <c r="W86" s="95" t="s">
        <v>46</v>
      </c>
      <c r="X86" s="95" t="s">
        <v>68</v>
      </c>
      <c r="Y86" s="7"/>
      <c r="Z86" s="7"/>
      <c r="AA86" s="7"/>
      <c r="AB86" s="8">
        <f t="shared" si="6"/>
        <v>22000000</v>
      </c>
      <c r="AC86" s="7"/>
      <c r="AD86" s="7"/>
      <c r="AE86" s="7"/>
      <c r="AF86" s="7"/>
      <c r="AG86" s="7"/>
      <c r="AH86" s="7"/>
      <c r="AI86" s="7"/>
      <c r="AJ86" s="7"/>
      <c r="AK86" s="7"/>
      <c r="AL86" s="7"/>
      <c r="AM86" s="7"/>
    </row>
    <row r="87" spans="1:39" ht="104.25" hidden="1" customHeight="1" x14ac:dyDescent="0.3">
      <c r="A87" s="7" t="s">
        <v>297</v>
      </c>
      <c r="B87" s="87" t="s">
        <v>213</v>
      </c>
      <c r="C87" s="170" t="s">
        <v>267</v>
      </c>
      <c r="D87" s="95" t="s">
        <v>237</v>
      </c>
      <c r="E87" s="7" t="s">
        <v>268</v>
      </c>
      <c r="F87" s="91">
        <v>80111600</v>
      </c>
      <c r="G87" s="97" t="s">
        <v>286</v>
      </c>
      <c r="H87" s="93">
        <v>1</v>
      </c>
      <c r="I87" s="93">
        <v>1</v>
      </c>
      <c r="J87" s="93">
        <v>11</v>
      </c>
      <c r="K87" s="93">
        <v>1</v>
      </c>
      <c r="L87" s="105" t="s">
        <v>45</v>
      </c>
      <c r="M87" s="7" t="s">
        <v>394</v>
      </c>
      <c r="N87" s="185">
        <f>3130298*11</f>
        <v>34433278</v>
      </c>
      <c r="O87" s="7">
        <v>0</v>
      </c>
      <c r="P87" s="7">
        <v>0</v>
      </c>
      <c r="Q87" s="7" t="s">
        <v>123</v>
      </c>
      <c r="R87" s="7" t="s">
        <v>122</v>
      </c>
      <c r="S87" s="120" t="s">
        <v>260</v>
      </c>
      <c r="T87" s="120">
        <v>3846666</v>
      </c>
      <c r="U87" s="94" t="s">
        <v>261</v>
      </c>
      <c r="V87" s="7" t="s">
        <v>120</v>
      </c>
      <c r="W87" s="95" t="s">
        <v>46</v>
      </c>
      <c r="X87" s="95" t="s">
        <v>68</v>
      </c>
      <c r="Y87" s="7"/>
      <c r="Z87" s="7"/>
      <c r="AA87" s="7"/>
      <c r="AB87" s="8">
        <f t="shared" si="6"/>
        <v>34433278</v>
      </c>
      <c r="AC87" s="7"/>
      <c r="AD87" s="7"/>
      <c r="AE87" s="7"/>
      <c r="AF87" s="7"/>
      <c r="AG87" s="7"/>
      <c r="AH87" s="7"/>
      <c r="AI87" s="7"/>
      <c r="AJ87" s="7"/>
      <c r="AK87" s="7"/>
      <c r="AL87" s="7"/>
      <c r="AM87" s="7"/>
    </row>
    <row r="88" spans="1:39" s="118" customFormat="1" ht="104.25" hidden="1" customHeight="1" x14ac:dyDescent="0.3">
      <c r="A88" s="124" t="s">
        <v>298</v>
      </c>
      <c r="B88" s="120" t="s">
        <v>50</v>
      </c>
      <c r="C88" s="120" t="s">
        <v>438</v>
      </c>
      <c r="D88" s="120" t="s">
        <v>50</v>
      </c>
      <c r="E88" s="120" t="s">
        <v>389</v>
      </c>
      <c r="F88" s="120" t="s">
        <v>325</v>
      </c>
      <c r="G88" s="116" t="s">
        <v>330</v>
      </c>
      <c r="H88" s="115">
        <v>7</v>
      </c>
      <c r="I88" s="115">
        <v>8</v>
      </c>
      <c r="J88" s="115">
        <v>1</v>
      </c>
      <c r="K88" s="98">
        <v>1</v>
      </c>
      <c r="L88" s="7" t="s">
        <v>455</v>
      </c>
      <c r="M88" s="115" t="s">
        <v>410</v>
      </c>
      <c r="N88" s="125">
        <v>20000000</v>
      </c>
      <c r="O88" s="7">
        <v>0</v>
      </c>
      <c r="P88" s="7">
        <v>0</v>
      </c>
      <c r="Q88" s="120" t="s">
        <v>123</v>
      </c>
      <c r="R88" s="120" t="s">
        <v>122</v>
      </c>
      <c r="S88" s="89" t="s">
        <v>248</v>
      </c>
      <c r="T88" s="115">
        <v>3846666</v>
      </c>
      <c r="U88" s="123" t="s">
        <v>249</v>
      </c>
      <c r="V88" s="120" t="s">
        <v>397</v>
      </c>
      <c r="W88" s="102" t="s">
        <v>92</v>
      </c>
      <c r="X88" s="126" t="s">
        <v>398</v>
      </c>
      <c r="Y88" s="120"/>
      <c r="Z88" s="120"/>
      <c r="AA88" s="120"/>
      <c r="AB88" s="8">
        <f t="shared" si="6"/>
        <v>20000000</v>
      </c>
      <c r="AC88" s="120"/>
      <c r="AD88" s="120"/>
      <c r="AE88" s="120"/>
      <c r="AF88" s="120"/>
      <c r="AG88" s="120"/>
      <c r="AH88" s="120"/>
      <c r="AI88" s="120"/>
      <c r="AJ88" s="120"/>
      <c r="AK88" s="120"/>
      <c r="AL88" s="120"/>
      <c r="AM88" s="120"/>
    </row>
    <row r="89" spans="1:39" s="118" customFormat="1" ht="104.25" hidden="1" customHeight="1" x14ac:dyDescent="0.3">
      <c r="A89" s="124" t="s">
        <v>299</v>
      </c>
      <c r="B89" s="120" t="s">
        <v>50</v>
      </c>
      <c r="C89" s="87" t="s">
        <v>439</v>
      </c>
      <c r="D89" s="120" t="s">
        <v>50</v>
      </c>
      <c r="E89" s="120" t="s">
        <v>389</v>
      </c>
      <c r="F89" s="120">
        <v>50201713</v>
      </c>
      <c r="G89" s="116" t="s">
        <v>331</v>
      </c>
      <c r="H89" s="115">
        <v>2</v>
      </c>
      <c r="I89" s="115">
        <v>3</v>
      </c>
      <c r="J89" s="115">
        <v>9</v>
      </c>
      <c r="K89" s="98">
        <v>1</v>
      </c>
      <c r="L89" s="7" t="s">
        <v>455</v>
      </c>
      <c r="M89" s="115" t="s">
        <v>410</v>
      </c>
      <c r="N89" s="125">
        <v>110000</v>
      </c>
      <c r="O89" s="7">
        <v>0</v>
      </c>
      <c r="P89" s="7">
        <v>0</v>
      </c>
      <c r="Q89" s="120" t="s">
        <v>123</v>
      </c>
      <c r="R89" s="120" t="s">
        <v>122</v>
      </c>
      <c r="S89" s="89" t="s">
        <v>248</v>
      </c>
      <c r="T89" s="115">
        <v>3846666</v>
      </c>
      <c r="U89" s="123" t="s">
        <v>249</v>
      </c>
      <c r="V89" s="120" t="s">
        <v>397</v>
      </c>
      <c r="W89" s="102" t="s">
        <v>92</v>
      </c>
      <c r="X89" s="126" t="s">
        <v>398</v>
      </c>
      <c r="Y89" s="120"/>
      <c r="Z89" s="120"/>
      <c r="AA89" s="120"/>
      <c r="AB89" s="8">
        <f t="shared" si="6"/>
        <v>110000</v>
      </c>
      <c r="AC89" s="120"/>
      <c r="AD89" s="120"/>
      <c r="AE89" s="120"/>
      <c r="AF89" s="120"/>
      <c r="AG89" s="120"/>
      <c r="AH89" s="120"/>
      <c r="AI89" s="120"/>
      <c r="AJ89" s="120"/>
      <c r="AK89" s="120"/>
      <c r="AL89" s="120"/>
      <c r="AM89" s="120"/>
    </row>
    <row r="90" spans="1:39" s="118" customFormat="1" ht="104.25" hidden="1" customHeight="1" x14ac:dyDescent="0.3">
      <c r="A90" s="124" t="s">
        <v>300</v>
      </c>
      <c r="B90" s="120" t="s">
        <v>50</v>
      </c>
      <c r="C90" s="163" t="s">
        <v>440</v>
      </c>
      <c r="D90" s="120" t="s">
        <v>50</v>
      </c>
      <c r="E90" s="120" t="s">
        <v>389</v>
      </c>
      <c r="F90" s="120" t="s">
        <v>50</v>
      </c>
      <c r="G90" s="116" t="s">
        <v>332</v>
      </c>
      <c r="H90" s="115" t="s">
        <v>50</v>
      </c>
      <c r="I90" s="115" t="s">
        <v>50</v>
      </c>
      <c r="J90" s="115" t="s">
        <v>50</v>
      </c>
      <c r="K90" s="98">
        <v>1</v>
      </c>
      <c r="L90" s="122" t="s">
        <v>52</v>
      </c>
      <c r="M90" s="115" t="s">
        <v>394</v>
      </c>
      <c r="N90" s="125">
        <f>50000*11</f>
        <v>550000</v>
      </c>
      <c r="O90" s="7">
        <v>0</v>
      </c>
      <c r="P90" s="7">
        <v>0</v>
      </c>
      <c r="Q90" s="120" t="s">
        <v>123</v>
      </c>
      <c r="R90" s="120" t="s">
        <v>122</v>
      </c>
      <c r="S90" s="89" t="s">
        <v>248</v>
      </c>
      <c r="T90" s="115">
        <v>3846666</v>
      </c>
      <c r="U90" s="123" t="s">
        <v>249</v>
      </c>
      <c r="V90" s="120" t="s">
        <v>397</v>
      </c>
      <c r="W90" s="102" t="s">
        <v>399</v>
      </c>
      <c r="X90" s="126" t="s">
        <v>398</v>
      </c>
      <c r="Y90" s="120"/>
      <c r="Z90" s="120"/>
      <c r="AA90" s="120"/>
      <c r="AB90" s="8">
        <f t="shared" si="6"/>
        <v>550000</v>
      </c>
      <c r="AC90" s="120"/>
      <c r="AD90" s="120"/>
      <c r="AE90" s="120"/>
      <c r="AF90" s="120"/>
      <c r="AG90" s="120"/>
      <c r="AH90" s="120"/>
      <c r="AI90" s="120"/>
      <c r="AJ90" s="120"/>
      <c r="AK90" s="120"/>
      <c r="AL90" s="120"/>
      <c r="AM90" s="120"/>
    </row>
    <row r="91" spans="1:39" s="118" customFormat="1" ht="104.25" hidden="1" customHeight="1" x14ac:dyDescent="0.3">
      <c r="A91" s="124" t="s">
        <v>300</v>
      </c>
      <c r="B91" s="120" t="s">
        <v>50</v>
      </c>
      <c r="C91" s="163" t="s">
        <v>440</v>
      </c>
      <c r="D91" s="120" t="s">
        <v>50</v>
      </c>
      <c r="E91" s="120" t="s">
        <v>389</v>
      </c>
      <c r="F91" s="120">
        <v>50161814</v>
      </c>
      <c r="G91" s="116" t="s">
        <v>333</v>
      </c>
      <c r="H91" s="115">
        <v>2</v>
      </c>
      <c r="I91" s="115">
        <v>3</v>
      </c>
      <c r="J91" s="115">
        <v>9</v>
      </c>
      <c r="K91" s="98">
        <v>1</v>
      </c>
      <c r="L91" s="7" t="s">
        <v>455</v>
      </c>
      <c r="M91" s="115" t="s">
        <v>410</v>
      </c>
      <c r="N91" s="125">
        <v>600000</v>
      </c>
      <c r="O91" s="7">
        <v>0</v>
      </c>
      <c r="P91" s="7">
        <v>0</v>
      </c>
      <c r="Q91" s="120" t="s">
        <v>123</v>
      </c>
      <c r="R91" s="120" t="s">
        <v>122</v>
      </c>
      <c r="S91" s="89" t="s">
        <v>248</v>
      </c>
      <c r="T91" s="115">
        <v>3846666</v>
      </c>
      <c r="U91" s="123" t="s">
        <v>249</v>
      </c>
      <c r="V91" s="120" t="s">
        <v>397</v>
      </c>
      <c r="W91" s="102" t="s">
        <v>92</v>
      </c>
      <c r="X91" s="126" t="s">
        <v>398</v>
      </c>
      <c r="Y91" s="120"/>
      <c r="Z91" s="120"/>
      <c r="AA91" s="120"/>
      <c r="AB91" s="8">
        <f t="shared" si="6"/>
        <v>600000</v>
      </c>
      <c r="AC91" s="120"/>
      <c r="AD91" s="120"/>
      <c r="AE91" s="120"/>
      <c r="AF91" s="120"/>
      <c r="AG91" s="120"/>
      <c r="AH91" s="120"/>
      <c r="AI91" s="120"/>
      <c r="AJ91" s="120"/>
      <c r="AK91" s="120"/>
      <c r="AL91" s="120"/>
      <c r="AM91" s="120"/>
    </row>
    <row r="92" spans="1:39" s="118" customFormat="1" ht="104.25" hidden="1" customHeight="1" x14ac:dyDescent="0.3">
      <c r="A92" s="124" t="s">
        <v>300</v>
      </c>
      <c r="B92" s="120" t="s">
        <v>50</v>
      </c>
      <c r="C92" s="163" t="s">
        <v>440</v>
      </c>
      <c r="D92" s="120" t="s">
        <v>50</v>
      </c>
      <c r="E92" s="120" t="s">
        <v>389</v>
      </c>
      <c r="F92" s="120">
        <v>50201706</v>
      </c>
      <c r="G92" s="116" t="s">
        <v>454</v>
      </c>
      <c r="H92" s="115">
        <v>2</v>
      </c>
      <c r="I92" s="115">
        <v>3</v>
      </c>
      <c r="J92" s="115">
        <v>9</v>
      </c>
      <c r="K92" s="98">
        <v>1</v>
      </c>
      <c r="L92" s="7" t="s">
        <v>455</v>
      </c>
      <c r="M92" s="115" t="s">
        <v>410</v>
      </c>
      <c r="N92" s="125">
        <v>2500000</v>
      </c>
      <c r="O92" s="7">
        <v>0</v>
      </c>
      <c r="P92" s="7">
        <v>0</v>
      </c>
      <c r="Q92" s="120" t="s">
        <v>123</v>
      </c>
      <c r="R92" s="120" t="s">
        <v>122</v>
      </c>
      <c r="S92" s="89" t="s">
        <v>248</v>
      </c>
      <c r="T92" s="115">
        <v>3846666</v>
      </c>
      <c r="U92" s="123" t="s">
        <v>249</v>
      </c>
      <c r="V92" s="120" t="s">
        <v>397</v>
      </c>
      <c r="W92" s="102" t="s">
        <v>92</v>
      </c>
      <c r="X92" s="126" t="s">
        <v>398</v>
      </c>
      <c r="Y92" s="120"/>
      <c r="Z92" s="120"/>
      <c r="AA92" s="120"/>
      <c r="AB92" s="8">
        <f t="shared" si="6"/>
        <v>2500000</v>
      </c>
      <c r="AC92" s="120"/>
      <c r="AD92" s="120"/>
      <c r="AE92" s="120"/>
      <c r="AF92" s="120"/>
      <c r="AG92" s="120"/>
      <c r="AH92" s="120"/>
      <c r="AI92" s="120"/>
      <c r="AJ92" s="120"/>
      <c r="AK92" s="120"/>
      <c r="AL92" s="120"/>
      <c r="AM92" s="120"/>
    </row>
    <row r="93" spans="1:39" s="118" customFormat="1" ht="104.25" hidden="1" customHeight="1" x14ac:dyDescent="0.3">
      <c r="A93" s="124" t="s">
        <v>301</v>
      </c>
      <c r="B93" s="120" t="s">
        <v>50</v>
      </c>
      <c r="C93" s="163" t="s">
        <v>440</v>
      </c>
      <c r="D93" s="120" t="s">
        <v>50</v>
      </c>
      <c r="E93" s="120" t="s">
        <v>254</v>
      </c>
      <c r="F93" s="120">
        <v>53102710</v>
      </c>
      <c r="G93" s="116" t="s">
        <v>334</v>
      </c>
      <c r="H93" s="115">
        <v>4</v>
      </c>
      <c r="I93" s="115">
        <v>4</v>
      </c>
      <c r="J93" s="115">
        <v>8</v>
      </c>
      <c r="K93" s="98">
        <v>1</v>
      </c>
      <c r="L93" s="7" t="s">
        <v>455</v>
      </c>
      <c r="M93" s="115" t="s">
        <v>394</v>
      </c>
      <c r="N93" s="125">
        <f>18000000-550000</f>
        <v>17450000</v>
      </c>
      <c r="O93" s="7">
        <v>0</v>
      </c>
      <c r="P93" s="7">
        <v>0</v>
      </c>
      <c r="Q93" s="120" t="s">
        <v>123</v>
      </c>
      <c r="R93" s="120" t="s">
        <v>122</v>
      </c>
      <c r="S93" s="89" t="s">
        <v>248</v>
      </c>
      <c r="T93" s="116">
        <v>3846666</v>
      </c>
      <c r="U93" s="123" t="s">
        <v>249</v>
      </c>
      <c r="V93" s="120" t="s">
        <v>397</v>
      </c>
      <c r="W93" s="102" t="s">
        <v>92</v>
      </c>
      <c r="X93" s="126" t="s">
        <v>247</v>
      </c>
      <c r="Y93" s="120"/>
      <c r="Z93" s="120"/>
      <c r="AA93" s="120"/>
      <c r="AB93" s="8">
        <f t="shared" si="6"/>
        <v>17450000</v>
      </c>
      <c r="AC93" s="120"/>
      <c r="AD93" s="120"/>
      <c r="AE93" s="120"/>
      <c r="AF93" s="120"/>
      <c r="AG93" s="120"/>
      <c r="AH93" s="120"/>
      <c r="AI93" s="120"/>
      <c r="AJ93" s="120"/>
      <c r="AK93" s="120"/>
      <c r="AL93" s="120"/>
      <c r="AM93" s="120"/>
    </row>
    <row r="94" spans="1:39" s="118" customFormat="1" ht="104.25" hidden="1" customHeight="1" x14ac:dyDescent="0.3">
      <c r="A94" s="124" t="s">
        <v>301</v>
      </c>
      <c r="B94" s="120" t="s">
        <v>50</v>
      </c>
      <c r="C94" s="163" t="s">
        <v>440</v>
      </c>
      <c r="D94" s="120" t="s">
        <v>50</v>
      </c>
      <c r="E94" s="120" t="s">
        <v>254</v>
      </c>
      <c r="F94" s="120">
        <v>53102710</v>
      </c>
      <c r="G94" s="116" t="s">
        <v>334</v>
      </c>
      <c r="H94" s="115">
        <v>4</v>
      </c>
      <c r="I94" s="115">
        <v>4</v>
      </c>
      <c r="J94" s="115">
        <v>8</v>
      </c>
      <c r="K94" s="98">
        <v>1</v>
      </c>
      <c r="L94" s="7" t="s">
        <v>455</v>
      </c>
      <c r="M94" s="115" t="s">
        <v>410</v>
      </c>
      <c r="N94" s="125">
        <v>550000</v>
      </c>
      <c r="O94" s="7">
        <v>0</v>
      </c>
      <c r="P94" s="7">
        <v>0</v>
      </c>
      <c r="Q94" s="120" t="s">
        <v>123</v>
      </c>
      <c r="R94" s="120" t="s">
        <v>122</v>
      </c>
      <c r="S94" s="89" t="s">
        <v>248</v>
      </c>
      <c r="T94" s="116">
        <v>3846666</v>
      </c>
      <c r="U94" s="123" t="s">
        <v>249</v>
      </c>
      <c r="V94" s="120" t="s">
        <v>397</v>
      </c>
      <c r="W94" s="102" t="s">
        <v>92</v>
      </c>
      <c r="X94" s="126" t="s">
        <v>247</v>
      </c>
      <c r="Y94" s="120"/>
      <c r="Z94" s="120"/>
      <c r="AA94" s="120"/>
      <c r="AB94" s="8">
        <f t="shared" ref="AB94" si="7">+N94+Y94+Z94-AA94</f>
        <v>550000</v>
      </c>
      <c r="AC94" s="120"/>
      <c r="AD94" s="120"/>
      <c r="AE94" s="120"/>
      <c r="AF94" s="120"/>
      <c r="AG94" s="120"/>
      <c r="AH94" s="120"/>
      <c r="AI94" s="120"/>
      <c r="AJ94" s="120"/>
      <c r="AK94" s="120"/>
      <c r="AL94" s="120"/>
      <c r="AM94" s="120"/>
    </row>
    <row r="95" spans="1:39" s="118" customFormat="1" ht="104.25" hidden="1" customHeight="1" x14ac:dyDescent="0.3">
      <c r="A95" s="124" t="s">
        <v>302</v>
      </c>
      <c r="B95" s="120" t="s">
        <v>50</v>
      </c>
      <c r="C95" s="172" t="s">
        <v>441</v>
      </c>
      <c r="D95" s="120" t="s">
        <v>50</v>
      </c>
      <c r="E95" s="120" t="s">
        <v>389</v>
      </c>
      <c r="F95" s="120" t="s">
        <v>50</v>
      </c>
      <c r="G95" s="116" t="s">
        <v>335</v>
      </c>
      <c r="H95" s="115" t="s">
        <v>50</v>
      </c>
      <c r="I95" s="115" t="s">
        <v>50</v>
      </c>
      <c r="J95" s="115" t="s">
        <v>50</v>
      </c>
      <c r="K95" s="115" t="s">
        <v>50</v>
      </c>
      <c r="L95" s="122" t="s">
        <v>52</v>
      </c>
      <c r="M95" s="115" t="s">
        <v>394</v>
      </c>
      <c r="N95" s="125">
        <f>90000*11</f>
        <v>990000</v>
      </c>
      <c r="O95" s="7">
        <v>0</v>
      </c>
      <c r="P95" s="7">
        <v>0</v>
      </c>
      <c r="Q95" s="120" t="s">
        <v>123</v>
      </c>
      <c r="R95" s="120" t="s">
        <v>122</v>
      </c>
      <c r="S95" s="89" t="s">
        <v>248</v>
      </c>
      <c r="T95" s="117">
        <v>3846666</v>
      </c>
      <c r="U95" s="123" t="s">
        <v>249</v>
      </c>
      <c r="V95" s="120" t="s">
        <v>397</v>
      </c>
      <c r="W95" s="102" t="s">
        <v>399</v>
      </c>
      <c r="X95" s="126" t="s">
        <v>398</v>
      </c>
      <c r="Y95" s="120"/>
      <c r="Z95" s="120"/>
      <c r="AA95" s="120"/>
      <c r="AB95" s="8">
        <f t="shared" si="6"/>
        <v>990000</v>
      </c>
      <c r="AC95" s="120"/>
      <c r="AD95" s="120"/>
      <c r="AE95" s="120"/>
      <c r="AF95" s="120"/>
      <c r="AG95" s="120"/>
      <c r="AH95" s="120"/>
      <c r="AI95" s="120"/>
      <c r="AJ95" s="120"/>
      <c r="AK95" s="120"/>
      <c r="AL95" s="120"/>
      <c r="AM95" s="120"/>
    </row>
    <row r="96" spans="1:39" s="118" customFormat="1" ht="104.25" hidden="1" customHeight="1" x14ac:dyDescent="0.3">
      <c r="A96" s="124" t="s">
        <v>302</v>
      </c>
      <c r="B96" s="120" t="s">
        <v>50</v>
      </c>
      <c r="C96" s="172" t="s">
        <v>441</v>
      </c>
      <c r="D96" s="120" t="s">
        <v>50</v>
      </c>
      <c r="E96" s="120" t="s">
        <v>389</v>
      </c>
      <c r="F96" s="120" t="s">
        <v>431</v>
      </c>
      <c r="G96" s="116" t="s">
        <v>336</v>
      </c>
      <c r="H96" s="115">
        <v>6</v>
      </c>
      <c r="I96" s="115">
        <v>6</v>
      </c>
      <c r="J96" s="115">
        <v>1</v>
      </c>
      <c r="K96" s="98">
        <v>1</v>
      </c>
      <c r="L96" s="7" t="s">
        <v>455</v>
      </c>
      <c r="M96" s="115" t="s">
        <v>410</v>
      </c>
      <c r="N96" s="147">
        <f>5000000-500000</f>
        <v>4500000</v>
      </c>
      <c r="O96" s="7">
        <v>0</v>
      </c>
      <c r="P96" s="7">
        <v>0</v>
      </c>
      <c r="Q96" s="120" t="s">
        <v>123</v>
      </c>
      <c r="R96" s="120" t="s">
        <v>122</v>
      </c>
      <c r="S96" s="89" t="s">
        <v>248</v>
      </c>
      <c r="T96" s="117">
        <v>3846666</v>
      </c>
      <c r="U96" s="123" t="s">
        <v>249</v>
      </c>
      <c r="V96" s="120" t="s">
        <v>397</v>
      </c>
      <c r="W96" s="102" t="s">
        <v>251</v>
      </c>
      <c r="X96" s="126" t="s">
        <v>398</v>
      </c>
      <c r="Y96" s="120"/>
      <c r="Z96" s="120"/>
      <c r="AA96" s="120"/>
      <c r="AB96" s="8">
        <f t="shared" si="6"/>
        <v>4500000</v>
      </c>
      <c r="AC96" s="120"/>
      <c r="AD96" s="120"/>
      <c r="AE96" s="120"/>
      <c r="AF96" s="120"/>
      <c r="AG96" s="120"/>
      <c r="AH96" s="120"/>
      <c r="AI96" s="120"/>
      <c r="AJ96" s="120"/>
      <c r="AK96" s="120"/>
      <c r="AL96" s="120"/>
      <c r="AM96" s="120"/>
    </row>
    <row r="97" spans="1:39" s="118" customFormat="1" ht="104.25" hidden="1" customHeight="1" x14ac:dyDescent="0.3">
      <c r="A97" s="124" t="s">
        <v>302</v>
      </c>
      <c r="B97" s="120" t="s">
        <v>50</v>
      </c>
      <c r="C97" s="172" t="s">
        <v>441</v>
      </c>
      <c r="D97" s="120" t="s">
        <v>50</v>
      </c>
      <c r="E97" s="120" t="s">
        <v>389</v>
      </c>
      <c r="F97" s="120" t="s">
        <v>432</v>
      </c>
      <c r="G97" s="116" t="s">
        <v>337</v>
      </c>
      <c r="H97" s="115">
        <v>2</v>
      </c>
      <c r="I97" s="115">
        <v>3</v>
      </c>
      <c r="J97" s="115">
        <v>9</v>
      </c>
      <c r="K97" s="98">
        <v>1</v>
      </c>
      <c r="L97" s="7" t="s">
        <v>455</v>
      </c>
      <c r="M97" s="115" t="s">
        <v>410</v>
      </c>
      <c r="N97" s="147">
        <f>7000000-500000</f>
        <v>6500000</v>
      </c>
      <c r="O97" s="7">
        <v>0</v>
      </c>
      <c r="P97" s="7">
        <v>0</v>
      </c>
      <c r="Q97" s="120" t="s">
        <v>123</v>
      </c>
      <c r="R97" s="120" t="s">
        <v>122</v>
      </c>
      <c r="S97" s="89" t="s">
        <v>248</v>
      </c>
      <c r="T97" s="117">
        <v>3846666</v>
      </c>
      <c r="U97" s="123" t="s">
        <v>249</v>
      </c>
      <c r="V97" s="120" t="s">
        <v>397</v>
      </c>
      <c r="W97" s="102" t="s">
        <v>92</v>
      </c>
      <c r="X97" s="126" t="s">
        <v>398</v>
      </c>
      <c r="Y97" s="120"/>
      <c r="Z97" s="120"/>
      <c r="AA97" s="120"/>
      <c r="AB97" s="8">
        <f t="shared" si="6"/>
        <v>6500000</v>
      </c>
      <c r="AC97" s="120"/>
      <c r="AD97" s="120"/>
      <c r="AE97" s="120"/>
      <c r="AF97" s="120"/>
      <c r="AG97" s="120"/>
      <c r="AH97" s="120"/>
      <c r="AI97" s="120"/>
      <c r="AJ97" s="120"/>
      <c r="AK97" s="120"/>
      <c r="AL97" s="120"/>
      <c r="AM97" s="120"/>
    </row>
    <row r="98" spans="1:39" s="118" customFormat="1" ht="104.25" hidden="1" customHeight="1" x14ac:dyDescent="0.3">
      <c r="A98" s="124" t="s">
        <v>303</v>
      </c>
      <c r="B98" s="120" t="s">
        <v>50</v>
      </c>
      <c r="C98" s="172" t="s">
        <v>441</v>
      </c>
      <c r="D98" s="120" t="s">
        <v>50</v>
      </c>
      <c r="E98" s="120" t="s">
        <v>389</v>
      </c>
      <c r="F98" s="120">
        <v>15101505</v>
      </c>
      <c r="G98" s="116" t="s">
        <v>338</v>
      </c>
      <c r="H98" s="115">
        <v>1</v>
      </c>
      <c r="I98" s="115">
        <v>1</v>
      </c>
      <c r="J98" s="115">
        <v>11</v>
      </c>
      <c r="K98" s="98">
        <v>1</v>
      </c>
      <c r="L98" s="7" t="s">
        <v>455</v>
      </c>
      <c r="M98" s="115" t="s">
        <v>410</v>
      </c>
      <c r="N98" s="147">
        <f>5000000-1000000</f>
        <v>4000000</v>
      </c>
      <c r="O98" s="7">
        <v>0</v>
      </c>
      <c r="P98" s="7">
        <v>0</v>
      </c>
      <c r="Q98" s="120" t="s">
        <v>123</v>
      </c>
      <c r="R98" s="120" t="s">
        <v>122</v>
      </c>
      <c r="S98" s="89" t="s">
        <v>248</v>
      </c>
      <c r="T98" s="117">
        <v>3846666</v>
      </c>
      <c r="U98" s="123" t="s">
        <v>249</v>
      </c>
      <c r="V98" s="120" t="s">
        <v>397</v>
      </c>
      <c r="W98" s="102" t="s">
        <v>92</v>
      </c>
      <c r="X98" s="126" t="s">
        <v>398</v>
      </c>
      <c r="Y98" s="120"/>
      <c r="Z98" s="120"/>
      <c r="AA98" s="120"/>
      <c r="AB98" s="8">
        <f t="shared" si="6"/>
        <v>4000000</v>
      </c>
      <c r="AC98" s="120"/>
      <c r="AD98" s="120"/>
      <c r="AE98" s="120"/>
      <c r="AF98" s="120"/>
      <c r="AG98" s="120"/>
      <c r="AH98" s="120"/>
      <c r="AI98" s="120"/>
      <c r="AJ98" s="120"/>
      <c r="AK98" s="120"/>
      <c r="AL98" s="120"/>
      <c r="AM98" s="120"/>
    </row>
    <row r="99" spans="1:39" s="118" customFormat="1" ht="104.25" hidden="1" customHeight="1" x14ac:dyDescent="0.3">
      <c r="A99" s="124" t="s">
        <v>304</v>
      </c>
      <c r="B99" s="120" t="s">
        <v>50</v>
      </c>
      <c r="C99" s="172" t="s">
        <v>441</v>
      </c>
      <c r="D99" s="120" t="s">
        <v>50</v>
      </c>
      <c r="E99" s="120" t="s">
        <v>389</v>
      </c>
      <c r="F99" s="120">
        <v>44103103</v>
      </c>
      <c r="G99" s="116" t="s">
        <v>339</v>
      </c>
      <c r="H99" s="115">
        <v>6</v>
      </c>
      <c r="I99" s="115">
        <v>6</v>
      </c>
      <c r="J99" s="115">
        <v>1</v>
      </c>
      <c r="K99" s="98">
        <v>1</v>
      </c>
      <c r="L99" s="7" t="s">
        <v>455</v>
      </c>
      <c r="M99" s="115" t="s">
        <v>410</v>
      </c>
      <c r="N99" s="147">
        <f>11000000-5000000</f>
        <v>6000000</v>
      </c>
      <c r="O99" s="7">
        <v>0</v>
      </c>
      <c r="P99" s="7">
        <v>0</v>
      </c>
      <c r="Q99" s="120" t="s">
        <v>123</v>
      </c>
      <c r="R99" s="120" t="s">
        <v>122</v>
      </c>
      <c r="S99" s="89" t="s">
        <v>248</v>
      </c>
      <c r="T99" s="117">
        <v>3846666</v>
      </c>
      <c r="U99" s="123" t="s">
        <v>249</v>
      </c>
      <c r="V99" s="120" t="s">
        <v>397</v>
      </c>
      <c r="W99" s="102" t="s">
        <v>92</v>
      </c>
      <c r="X99" s="126" t="s">
        <v>398</v>
      </c>
      <c r="Y99" s="120"/>
      <c r="Z99" s="120"/>
      <c r="AA99" s="120"/>
      <c r="AB99" s="8">
        <f t="shared" si="6"/>
        <v>6000000</v>
      </c>
      <c r="AC99" s="120"/>
      <c r="AD99" s="120"/>
      <c r="AE99" s="120"/>
      <c r="AF99" s="120"/>
      <c r="AG99" s="120"/>
      <c r="AH99" s="120"/>
      <c r="AI99" s="120"/>
      <c r="AJ99" s="120"/>
      <c r="AK99" s="120"/>
      <c r="AL99" s="120"/>
      <c r="AM99" s="120"/>
    </row>
    <row r="100" spans="1:39" s="118" customFormat="1" ht="104.25" hidden="1" customHeight="1" x14ac:dyDescent="0.3">
      <c r="A100" s="124" t="s">
        <v>304</v>
      </c>
      <c r="B100" s="120" t="s">
        <v>50</v>
      </c>
      <c r="C100" s="172" t="s">
        <v>441</v>
      </c>
      <c r="D100" s="120" t="s">
        <v>50</v>
      </c>
      <c r="E100" s="120" t="s">
        <v>389</v>
      </c>
      <c r="F100" s="120">
        <v>12352104</v>
      </c>
      <c r="G100" s="116" t="s">
        <v>340</v>
      </c>
      <c r="H100" s="115">
        <v>2</v>
      </c>
      <c r="I100" s="115">
        <v>3</v>
      </c>
      <c r="J100" s="115">
        <v>9</v>
      </c>
      <c r="K100" s="98">
        <v>1</v>
      </c>
      <c r="L100" s="7" t="s">
        <v>455</v>
      </c>
      <c r="M100" s="115" t="s">
        <v>410</v>
      </c>
      <c r="N100" s="125">
        <v>800000</v>
      </c>
      <c r="O100" s="7">
        <v>0</v>
      </c>
      <c r="P100" s="7">
        <v>0</v>
      </c>
      <c r="Q100" s="120" t="s">
        <v>123</v>
      </c>
      <c r="R100" s="120" t="s">
        <v>122</v>
      </c>
      <c r="S100" s="89" t="s">
        <v>248</v>
      </c>
      <c r="T100" s="117">
        <v>3846666</v>
      </c>
      <c r="U100" s="123" t="s">
        <v>249</v>
      </c>
      <c r="V100" s="120" t="s">
        <v>397</v>
      </c>
      <c r="W100" s="102" t="s">
        <v>92</v>
      </c>
      <c r="X100" s="126" t="s">
        <v>398</v>
      </c>
      <c r="Y100" s="120"/>
      <c r="Z100" s="120"/>
      <c r="AA100" s="120"/>
      <c r="AB100" s="8">
        <f t="shared" si="6"/>
        <v>800000</v>
      </c>
      <c r="AC100" s="120"/>
      <c r="AD100" s="120"/>
      <c r="AE100" s="120"/>
      <c r="AF100" s="120"/>
      <c r="AG100" s="120"/>
      <c r="AH100" s="120"/>
      <c r="AI100" s="120"/>
      <c r="AJ100" s="120"/>
      <c r="AK100" s="120"/>
      <c r="AL100" s="120"/>
      <c r="AM100" s="120"/>
    </row>
    <row r="101" spans="1:39" s="118" customFormat="1" ht="104.25" hidden="1" customHeight="1" x14ac:dyDescent="0.3">
      <c r="A101" s="124" t="s">
        <v>304</v>
      </c>
      <c r="B101" s="120" t="s">
        <v>50</v>
      </c>
      <c r="C101" s="172" t="s">
        <v>441</v>
      </c>
      <c r="D101" s="120" t="s">
        <v>50</v>
      </c>
      <c r="E101" s="120" t="s">
        <v>389</v>
      </c>
      <c r="F101" s="120">
        <v>47131700</v>
      </c>
      <c r="G101" s="116" t="s">
        <v>341</v>
      </c>
      <c r="H101" s="115">
        <v>2</v>
      </c>
      <c r="I101" s="115">
        <v>3</v>
      </c>
      <c r="J101" s="115">
        <v>9</v>
      </c>
      <c r="K101" s="98">
        <v>1</v>
      </c>
      <c r="L101" s="7" t="s">
        <v>455</v>
      </c>
      <c r="M101" s="115" t="s">
        <v>410</v>
      </c>
      <c r="N101" s="125">
        <v>800000</v>
      </c>
      <c r="O101" s="7">
        <v>0</v>
      </c>
      <c r="P101" s="7">
        <v>0</v>
      </c>
      <c r="Q101" s="120" t="s">
        <v>123</v>
      </c>
      <c r="R101" s="120" t="s">
        <v>122</v>
      </c>
      <c r="S101" s="89" t="s">
        <v>248</v>
      </c>
      <c r="T101" s="117">
        <v>3846666</v>
      </c>
      <c r="U101" s="123" t="s">
        <v>249</v>
      </c>
      <c r="V101" s="120" t="s">
        <v>397</v>
      </c>
      <c r="W101" s="102" t="s">
        <v>92</v>
      </c>
      <c r="X101" s="126" t="s">
        <v>398</v>
      </c>
      <c r="Y101" s="120"/>
      <c r="Z101" s="120"/>
      <c r="AA101" s="120"/>
      <c r="AB101" s="8">
        <f t="shared" si="6"/>
        <v>800000</v>
      </c>
      <c r="AC101" s="120"/>
      <c r="AD101" s="120"/>
      <c r="AE101" s="120"/>
      <c r="AF101" s="120"/>
      <c r="AG101" s="120"/>
      <c r="AH101" s="120"/>
      <c r="AI101" s="120"/>
      <c r="AJ101" s="120"/>
      <c r="AK101" s="120"/>
      <c r="AL101" s="120"/>
      <c r="AM101" s="120"/>
    </row>
    <row r="102" spans="1:39" s="118" customFormat="1" ht="104.25" hidden="1" customHeight="1" x14ac:dyDescent="0.3">
      <c r="A102" s="124" t="s">
        <v>304</v>
      </c>
      <c r="B102" s="120" t="s">
        <v>50</v>
      </c>
      <c r="C102" s="172" t="s">
        <v>441</v>
      </c>
      <c r="D102" s="120" t="s">
        <v>50</v>
      </c>
      <c r="E102" s="120" t="s">
        <v>389</v>
      </c>
      <c r="F102" s="120">
        <v>47131800</v>
      </c>
      <c r="G102" s="116" t="s">
        <v>342</v>
      </c>
      <c r="H102" s="115">
        <v>2</v>
      </c>
      <c r="I102" s="115">
        <v>3</v>
      </c>
      <c r="J102" s="115">
        <v>9</v>
      </c>
      <c r="K102" s="98">
        <v>1</v>
      </c>
      <c r="L102" s="7" t="s">
        <v>455</v>
      </c>
      <c r="M102" s="115" t="s">
        <v>394</v>
      </c>
      <c r="N102" s="125">
        <f>3000000-121631</f>
        <v>2878369</v>
      </c>
      <c r="O102" s="7">
        <v>0</v>
      </c>
      <c r="P102" s="7">
        <v>0</v>
      </c>
      <c r="Q102" s="120" t="s">
        <v>123</v>
      </c>
      <c r="R102" s="120" t="s">
        <v>122</v>
      </c>
      <c r="S102" s="89" t="s">
        <v>248</v>
      </c>
      <c r="T102" s="117">
        <v>3846666</v>
      </c>
      <c r="U102" s="123" t="s">
        <v>249</v>
      </c>
      <c r="V102" s="120" t="s">
        <v>397</v>
      </c>
      <c r="W102" s="102" t="s">
        <v>92</v>
      </c>
      <c r="X102" s="126" t="s">
        <v>398</v>
      </c>
      <c r="Y102" s="120"/>
      <c r="Z102" s="120"/>
      <c r="AA102" s="120"/>
      <c r="AB102" s="8">
        <f t="shared" ref="AB102:AB134" si="8">+N102+Y102+Z102-AA102</f>
        <v>2878369</v>
      </c>
      <c r="AC102" s="120"/>
      <c r="AD102" s="120"/>
      <c r="AE102" s="120"/>
      <c r="AF102" s="120"/>
      <c r="AG102" s="120"/>
      <c r="AH102" s="120"/>
      <c r="AI102" s="120"/>
      <c r="AJ102" s="120"/>
      <c r="AK102" s="120"/>
      <c r="AL102" s="120"/>
      <c r="AM102" s="120"/>
    </row>
    <row r="103" spans="1:39" s="118" customFormat="1" ht="104.25" hidden="1" customHeight="1" x14ac:dyDescent="0.3">
      <c r="A103" s="124" t="s">
        <v>304</v>
      </c>
      <c r="B103" s="120" t="s">
        <v>50</v>
      </c>
      <c r="C103" s="172" t="s">
        <v>441</v>
      </c>
      <c r="D103" s="120" t="s">
        <v>50</v>
      </c>
      <c r="E103" s="120" t="s">
        <v>389</v>
      </c>
      <c r="F103" s="120">
        <v>47131800</v>
      </c>
      <c r="G103" s="116" t="s">
        <v>342</v>
      </c>
      <c r="H103" s="115">
        <v>2</v>
      </c>
      <c r="I103" s="115">
        <v>3</v>
      </c>
      <c r="J103" s="115">
        <v>9</v>
      </c>
      <c r="K103" s="98">
        <v>1</v>
      </c>
      <c r="L103" s="7" t="s">
        <v>455</v>
      </c>
      <c r="M103" s="115" t="s">
        <v>410</v>
      </c>
      <c r="N103" s="125">
        <v>121631</v>
      </c>
      <c r="O103" s="7">
        <v>0</v>
      </c>
      <c r="P103" s="7">
        <v>0</v>
      </c>
      <c r="Q103" s="120" t="s">
        <v>123</v>
      </c>
      <c r="R103" s="120" t="s">
        <v>122</v>
      </c>
      <c r="S103" s="89" t="s">
        <v>248</v>
      </c>
      <c r="T103" s="117">
        <v>3846666</v>
      </c>
      <c r="U103" s="123" t="s">
        <v>249</v>
      </c>
      <c r="V103" s="120" t="s">
        <v>397</v>
      </c>
      <c r="W103" s="102" t="s">
        <v>92</v>
      </c>
      <c r="X103" s="126" t="s">
        <v>398</v>
      </c>
      <c r="Y103" s="120"/>
      <c r="Z103" s="120"/>
      <c r="AA103" s="120"/>
      <c r="AB103" s="8">
        <f t="shared" si="8"/>
        <v>121631</v>
      </c>
      <c r="AC103" s="120"/>
      <c r="AD103" s="120"/>
      <c r="AE103" s="120"/>
      <c r="AF103" s="120"/>
      <c r="AG103" s="120"/>
      <c r="AH103" s="120"/>
      <c r="AI103" s="120"/>
      <c r="AJ103" s="120"/>
      <c r="AK103" s="120"/>
      <c r="AL103" s="120"/>
      <c r="AM103" s="120"/>
    </row>
    <row r="104" spans="1:39" s="118" customFormat="1" ht="104.25" hidden="1" customHeight="1" x14ac:dyDescent="0.3">
      <c r="A104" s="124" t="s">
        <v>305</v>
      </c>
      <c r="B104" s="120" t="s">
        <v>50</v>
      </c>
      <c r="C104" s="172" t="s">
        <v>441</v>
      </c>
      <c r="D104" s="120" t="s">
        <v>50</v>
      </c>
      <c r="E104" s="120" t="s">
        <v>389</v>
      </c>
      <c r="F104" s="120" t="s">
        <v>326</v>
      </c>
      <c r="G104" s="116" t="s">
        <v>343</v>
      </c>
      <c r="H104" s="115">
        <v>2</v>
      </c>
      <c r="I104" s="115">
        <v>3</v>
      </c>
      <c r="J104" s="115">
        <v>9</v>
      </c>
      <c r="K104" s="98">
        <v>1</v>
      </c>
      <c r="L104" s="7" t="s">
        <v>455</v>
      </c>
      <c r="M104" s="115" t="s">
        <v>410</v>
      </c>
      <c r="N104" s="125">
        <v>800000</v>
      </c>
      <c r="O104" s="7">
        <v>0</v>
      </c>
      <c r="P104" s="7">
        <v>0</v>
      </c>
      <c r="Q104" s="120" t="s">
        <v>123</v>
      </c>
      <c r="R104" s="120" t="s">
        <v>122</v>
      </c>
      <c r="S104" s="89" t="s">
        <v>248</v>
      </c>
      <c r="T104" s="117">
        <v>3846666</v>
      </c>
      <c r="U104" s="123" t="s">
        <v>249</v>
      </c>
      <c r="V104" s="120" t="s">
        <v>397</v>
      </c>
      <c r="W104" s="102" t="s">
        <v>92</v>
      </c>
      <c r="X104" s="126" t="s">
        <v>398</v>
      </c>
      <c r="Y104" s="120"/>
      <c r="Z104" s="120"/>
      <c r="AA104" s="120"/>
      <c r="AB104" s="8">
        <f t="shared" si="8"/>
        <v>800000</v>
      </c>
      <c r="AC104" s="120"/>
      <c r="AD104" s="120"/>
      <c r="AE104" s="120"/>
      <c r="AF104" s="120"/>
      <c r="AG104" s="120"/>
      <c r="AH104" s="120"/>
      <c r="AI104" s="120"/>
      <c r="AJ104" s="120"/>
      <c r="AK104" s="120"/>
      <c r="AL104" s="120"/>
      <c r="AM104" s="120"/>
    </row>
    <row r="105" spans="1:39" s="118" customFormat="1" ht="104.25" hidden="1" customHeight="1" x14ac:dyDescent="0.3">
      <c r="A105" s="124" t="s">
        <v>306</v>
      </c>
      <c r="B105" s="120" t="s">
        <v>50</v>
      </c>
      <c r="C105" s="172" t="s">
        <v>441</v>
      </c>
      <c r="D105" s="120" t="s">
        <v>50</v>
      </c>
      <c r="E105" s="120" t="s">
        <v>389</v>
      </c>
      <c r="F105" s="120" t="s">
        <v>433</v>
      </c>
      <c r="G105" s="116" t="s">
        <v>344</v>
      </c>
      <c r="H105" s="115">
        <v>6</v>
      </c>
      <c r="I105" s="115">
        <v>6</v>
      </c>
      <c r="J105" s="115">
        <v>1</v>
      </c>
      <c r="K105" s="98">
        <v>1</v>
      </c>
      <c r="L105" s="7" t="s">
        <v>455</v>
      </c>
      <c r="M105" s="115" t="s">
        <v>394</v>
      </c>
      <c r="N105" s="147">
        <f>2000000-500000</f>
        <v>1500000</v>
      </c>
      <c r="O105" s="7">
        <v>0</v>
      </c>
      <c r="P105" s="7">
        <v>0</v>
      </c>
      <c r="Q105" s="120" t="s">
        <v>123</v>
      </c>
      <c r="R105" s="120" t="s">
        <v>122</v>
      </c>
      <c r="S105" s="89" t="s">
        <v>248</v>
      </c>
      <c r="T105" s="117">
        <v>3846666</v>
      </c>
      <c r="U105" s="123" t="s">
        <v>249</v>
      </c>
      <c r="V105" s="120" t="s">
        <v>397</v>
      </c>
      <c r="W105" s="102" t="s">
        <v>92</v>
      </c>
      <c r="X105" s="126" t="s">
        <v>398</v>
      </c>
      <c r="Y105" s="120"/>
      <c r="Z105" s="120"/>
      <c r="AA105" s="120"/>
      <c r="AB105" s="8">
        <f t="shared" si="8"/>
        <v>1500000</v>
      </c>
      <c r="AC105" s="120"/>
      <c r="AD105" s="120"/>
      <c r="AE105" s="120"/>
      <c r="AF105" s="120"/>
      <c r="AG105" s="120"/>
      <c r="AH105" s="120"/>
      <c r="AI105" s="120"/>
      <c r="AJ105" s="120"/>
      <c r="AK105" s="120"/>
      <c r="AL105" s="120"/>
      <c r="AM105" s="120"/>
    </row>
    <row r="106" spans="1:39" s="118" customFormat="1" ht="104.25" hidden="1" customHeight="1" x14ac:dyDescent="0.3">
      <c r="A106" s="127" t="s">
        <v>307</v>
      </c>
      <c r="B106" s="120" t="s">
        <v>50</v>
      </c>
      <c r="C106" s="120" t="s">
        <v>442</v>
      </c>
      <c r="D106" s="120" t="s">
        <v>50</v>
      </c>
      <c r="E106" s="120" t="s">
        <v>389</v>
      </c>
      <c r="F106" s="128">
        <v>43233200</v>
      </c>
      <c r="G106" s="128" t="s">
        <v>345</v>
      </c>
      <c r="H106" s="117">
        <v>10</v>
      </c>
      <c r="I106" s="117">
        <v>10</v>
      </c>
      <c r="J106" s="117">
        <v>1</v>
      </c>
      <c r="K106" s="98">
        <v>1</v>
      </c>
      <c r="L106" s="7" t="s">
        <v>455</v>
      </c>
      <c r="M106" s="117" t="s">
        <v>394</v>
      </c>
      <c r="N106" s="125">
        <v>3000000</v>
      </c>
      <c r="O106" s="7">
        <v>0</v>
      </c>
      <c r="P106" s="7">
        <v>0</v>
      </c>
      <c r="Q106" s="120" t="s">
        <v>123</v>
      </c>
      <c r="R106" s="120" t="s">
        <v>122</v>
      </c>
      <c r="S106" s="129" t="s">
        <v>248</v>
      </c>
      <c r="T106" s="98">
        <v>3846666</v>
      </c>
      <c r="U106" s="130" t="s">
        <v>249</v>
      </c>
      <c r="V106" s="120" t="s">
        <v>397</v>
      </c>
      <c r="W106" s="117" t="s">
        <v>92</v>
      </c>
      <c r="X106" s="102" t="s">
        <v>398</v>
      </c>
      <c r="Y106" s="120"/>
      <c r="Z106" s="120"/>
      <c r="AA106" s="120"/>
      <c r="AB106" s="8">
        <f t="shared" si="8"/>
        <v>3000000</v>
      </c>
      <c r="AC106" s="120"/>
      <c r="AD106" s="120"/>
      <c r="AE106" s="120"/>
      <c r="AF106" s="120"/>
      <c r="AG106" s="120"/>
      <c r="AH106" s="120"/>
      <c r="AI106" s="120"/>
      <c r="AJ106" s="120"/>
      <c r="AK106" s="120"/>
      <c r="AL106" s="120"/>
      <c r="AM106" s="120"/>
    </row>
    <row r="107" spans="1:39" s="118" customFormat="1" ht="104.25" hidden="1" customHeight="1" x14ac:dyDescent="0.3">
      <c r="A107" s="124" t="s">
        <v>308</v>
      </c>
      <c r="B107" s="120" t="s">
        <v>50</v>
      </c>
      <c r="C107" s="167" t="s">
        <v>443</v>
      </c>
      <c r="D107" s="120" t="s">
        <v>50</v>
      </c>
      <c r="E107" s="120" t="s">
        <v>389</v>
      </c>
      <c r="F107" s="120">
        <v>72103300</v>
      </c>
      <c r="G107" s="116" t="s">
        <v>346</v>
      </c>
      <c r="H107" s="117">
        <v>3</v>
      </c>
      <c r="I107" s="117">
        <v>5</v>
      </c>
      <c r="J107" s="117">
        <v>3</v>
      </c>
      <c r="K107" s="98">
        <v>1</v>
      </c>
      <c r="L107" s="120" t="s">
        <v>91</v>
      </c>
      <c r="M107" s="117" t="s">
        <v>394</v>
      </c>
      <c r="N107" s="125">
        <v>60000000</v>
      </c>
      <c r="O107" s="7">
        <v>0</v>
      </c>
      <c r="P107" s="7">
        <v>0</v>
      </c>
      <c r="Q107" s="120" t="s">
        <v>123</v>
      </c>
      <c r="R107" s="120" t="s">
        <v>122</v>
      </c>
      <c r="S107" s="116" t="s">
        <v>248</v>
      </c>
      <c r="T107" s="117">
        <v>3846666</v>
      </c>
      <c r="U107" s="123" t="s">
        <v>249</v>
      </c>
      <c r="V107" s="120" t="s">
        <v>397</v>
      </c>
      <c r="W107" s="102" t="s">
        <v>400</v>
      </c>
      <c r="X107" s="128" t="s">
        <v>398</v>
      </c>
      <c r="Y107" s="120"/>
      <c r="Z107" s="120"/>
      <c r="AA107" s="120"/>
      <c r="AB107" s="8">
        <f t="shared" si="8"/>
        <v>60000000</v>
      </c>
      <c r="AC107" s="120"/>
      <c r="AD107" s="120"/>
      <c r="AE107" s="120"/>
      <c r="AF107" s="120"/>
      <c r="AG107" s="120"/>
      <c r="AH107" s="120"/>
      <c r="AI107" s="120"/>
      <c r="AJ107" s="120"/>
      <c r="AK107" s="120"/>
      <c r="AL107" s="120"/>
      <c r="AM107" s="120"/>
    </row>
    <row r="108" spans="1:39" s="118" customFormat="1" ht="104.25" hidden="1" customHeight="1" x14ac:dyDescent="0.3">
      <c r="A108" s="124" t="s">
        <v>309</v>
      </c>
      <c r="B108" s="120" t="s">
        <v>50</v>
      </c>
      <c r="C108" s="165" t="s">
        <v>444</v>
      </c>
      <c r="D108" s="120" t="s">
        <v>50</v>
      </c>
      <c r="E108" s="120" t="s">
        <v>389</v>
      </c>
      <c r="F108" s="120" t="s">
        <v>50</v>
      </c>
      <c r="G108" s="116" t="s">
        <v>347</v>
      </c>
      <c r="H108" s="117" t="s">
        <v>50</v>
      </c>
      <c r="I108" s="117" t="s">
        <v>50</v>
      </c>
      <c r="J108" s="117" t="s">
        <v>50</v>
      </c>
      <c r="K108" s="117" t="s">
        <v>50</v>
      </c>
      <c r="L108" s="120" t="s">
        <v>52</v>
      </c>
      <c r="M108" s="117" t="s">
        <v>394</v>
      </c>
      <c r="N108" s="125">
        <f>220000*11</f>
        <v>2420000</v>
      </c>
      <c r="O108" s="7">
        <v>0</v>
      </c>
      <c r="P108" s="7">
        <v>0</v>
      </c>
      <c r="Q108" s="120" t="s">
        <v>123</v>
      </c>
      <c r="R108" s="120" t="s">
        <v>122</v>
      </c>
      <c r="S108" s="116" t="s">
        <v>248</v>
      </c>
      <c r="T108" s="117">
        <v>3846666</v>
      </c>
      <c r="U108" s="123" t="s">
        <v>249</v>
      </c>
      <c r="V108" s="120" t="s">
        <v>397</v>
      </c>
      <c r="W108" s="102" t="s">
        <v>399</v>
      </c>
      <c r="X108" s="128" t="s">
        <v>398</v>
      </c>
      <c r="Y108" s="120"/>
      <c r="Z108" s="120"/>
      <c r="AA108" s="120"/>
      <c r="AB108" s="8">
        <f t="shared" si="8"/>
        <v>2420000</v>
      </c>
      <c r="AC108" s="120"/>
      <c r="AD108" s="120"/>
      <c r="AE108" s="120"/>
      <c r="AF108" s="120"/>
      <c r="AG108" s="120"/>
      <c r="AH108" s="120"/>
      <c r="AI108" s="120"/>
      <c r="AJ108" s="120"/>
      <c r="AK108" s="120"/>
      <c r="AL108" s="120"/>
      <c r="AM108" s="120"/>
    </row>
    <row r="109" spans="1:39" s="118" customFormat="1" ht="104.25" hidden="1" customHeight="1" x14ac:dyDescent="0.3">
      <c r="A109" s="124" t="s">
        <v>310</v>
      </c>
      <c r="B109" s="120" t="s">
        <v>50</v>
      </c>
      <c r="C109" s="165" t="s">
        <v>444</v>
      </c>
      <c r="D109" s="120" t="s">
        <v>50</v>
      </c>
      <c r="E109" s="120" t="s">
        <v>389</v>
      </c>
      <c r="F109" s="120" t="s">
        <v>50</v>
      </c>
      <c r="G109" s="116" t="s">
        <v>348</v>
      </c>
      <c r="H109" s="117" t="s">
        <v>50</v>
      </c>
      <c r="I109" s="117" t="s">
        <v>50</v>
      </c>
      <c r="J109" s="117" t="s">
        <v>50</v>
      </c>
      <c r="K109" s="117" t="s">
        <v>50</v>
      </c>
      <c r="L109" s="120" t="s">
        <v>52</v>
      </c>
      <c r="M109" s="117" t="s">
        <v>410</v>
      </c>
      <c r="N109" s="147">
        <f>47000000-10000000</f>
        <v>37000000</v>
      </c>
      <c r="O109" s="7">
        <v>0</v>
      </c>
      <c r="P109" s="7">
        <v>0</v>
      </c>
      <c r="Q109" s="120" t="s">
        <v>123</v>
      </c>
      <c r="R109" s="120" t="s">
        <v>122</v>
      </c>
      <c r="S109" s="116" t="s">
        <v>248</v>
      </c>
      <c r="T109" s="117">
        <v>3846666</v>
      </c>
      <c r="U109" s="123" t="s">
        <v>249</v>
      </c>
      <c r="V109" s="120" t="s">
        <v>397</v>
      </c>
      <c r="W109" s="102" t="s">
        <v>65</v>
      </c>
      <c r="X109" s="128" t="s">
        <v>398</v>
      </c>
      <c r="Y109" s="120"/>
      <c r="Z109" s="120"/>
      <c r="AA109" s="120"/>
      <c r="AB109" s="8">
        <f t="shared" si="8"/>
        <v>37000000</v>
      </c>
      <c r="AC109" s="120"/>
      <c r="AD109" s="120"/>
      <c r="AE109" s="120"/>
      <c r="AF109" s="120"/>
      <c r="AG109" s="120"/>
      <c r="AH109" s="120"/>
      <c r="AI109" s="120"/>
      <c r="AJ109" s="120"/>
      <c r="AK109" s="120"/>
      <c r="AL109" s="120"/>
      <c r="AM109" s="120"/>
    </row>
    <row r="110" spans="1:39" s="118" customFormat="1" ht="104.25" hidden="1" customHeight="1" x14ac:dyDescent="0.3">
      <c r="A110" s="124" t="s">
        <v>310</v>
      </c>
      <c r="B110" s="120" t="s">
        <v>50</v>
      </c>
      <c r="C110" s="165" t="s">
        <v>444</v>
      </c>
      <c r="D110" s="120" t="s">
        <v>50</v>
      </c>
      <c r="E110" s="120" t="s">
        <v>389</v>
      </c>
      <c r="F110" s="120" t="s">
        <v>50</v>
      </c>
      <c r="G110" s="116" t="s">
        <v>349</v>
      </c>
      <c r="H110" s="117" t="s">
        <v>50</v>
      </c>
      <c r="I110" s="117" t="s">
        <v>50</v>
      </c>
      <c r="J110" s="117" t="s">
        <v>50</v>
      </c>
      <c r="K110" s="117" t="s">
        <v>50</v>
      </c>
      <c r="L110" s="120" t="s">
        <v>52</v>
      </c>
      <c r="M110" s="117" t="s">
        <v>410</v>
      </c>
      <c r="N110" s="147">
        <f>6000000-2000000</f>
        <v>4000000</v>
      </c>
      <c r="O110" s="7">
        <v>0</v>
      </c>
      <c r="P110" s="7">
        <v>0</v>
      </c>
      <c r="Q110" s="120" t="s">
        <v>123</v>
      </c>
      <c r="R110" s="120" t="s">
        <v>122</v>
      </c>
      <c r="S110" s="116" t="s">
        <v>248</v>
      </c>
      <c r="T110" s="117">
        <v>3846666</v>
      </c>
      <c r="U110" s="123" t="s">
        <v>249</v>
      </c>
      <c r="V110" s="120" t="s">
        <v>397</v>
      </c>
      <c r="W110" s="102" t="s">
        <v>65</v>
      </c>
      <c r="X110" s="128" t="s">
        <v>398</v>
      </c>
      <c r="Y110" s="120"/>
      <c r="Z110" s="120"/>
      <c r="AA110" s="120"/>
      <c r="AB110" s="8">
        <f t="shared" si="8"/>
        <v>4000000</v>
      </c>
      <c r="AC110" s="120"/>
      <c r="AD110" s="120"/>
      <c r="AE110" s="120"/>
      <c r="AF110" s="120"/>
      <c r="AG110" s="120"/>
      <c r="AH110" s="120"/>
      <c r="AI110" s="120"/>
      <c r="AJ110" s="120"/>
      <c r="AK110" s="120"/>
      <c r="AL110" s="120"/>
      <c r="AM110" s="120"/>
    </row>
    <row r="111" spans="1:39" s="118" customFormat="1" ht="104.25" hidden="1" customHeight="1" x14ac:dyDescent="0.3">
      <c r="A111" s="124" t="s">
        <v>311</v>
      </c>
      <c r="B111" s="120" t="s">
        <v>50</v>
      </c>
      <c r="C111" s="166" t="s">
        <v>445</v>
      </c>
      <c r="D111" s="120" t="s">
        <v>50</v>
      </c>
      <c r="E111" s="120" t="s">
        <v>389</v>
      </c>
      <c r="F111" s="120">
        <v>84131501</v>
      </c>
      <c r="G111" s="116" t="s">
        <v>350</v>
      </c>
      <c r="H111" s="117">
        <v>3</v>
      </c>
      <c r="I111" s="117">
        <v>5</v>
      </c>
      <c r="J111" s="117">
        <v>6</v>
      </c>
      <c r="K111" s="98">
        <v>1</v>
      </c>
      <c r="L111" s="120" t="s">
        <v>91</v>
      </c>
      <c r="M111" s="117" t="s">
        <v>410</v>
      </c>
      <c r="N111" s="125">
        <v>37694322</v>
      </c>
      <c r="O111" s="7">
        <v>0</v>
      </c>
      <c r="P111" s="7">
        <v>0</v>
      </c>
      <c r="Q111" s="120" t="s">
        <v>123</v>
      </c>
      <c r="R111" s="120" t="s">
        <v>122</v>
      </c>
      <c r="S111" s="116" t="s">
        <v>248</v>
      </c>
      <c r="T111" s="117">
        <v>3846666</v>
      </c>
      <c r="U111" s="123" t="s">
        <v>249</v>
      </c>
      <c r="V111" s="120" t="s">
        <v>397</v>
      </c>
      <c r="W111" s="102" t="s">
        <v>65</v>
      </c>
      <c r="X111" s="128" t="s">
        <v>398</v>
      </c>
      <c r="Y111" s="120"/>
      <c r="Z111" s="120"/>
      <c r="AA111" s="120"/>
      <c r="AB111" s="8">
        <f t="shared" si="8"/>
        <v>37694322</v>
      </c>
      <c r="AC111" s="120"/>
      <c r="AD111" s="120"/>
      <c r="AE111" s="120"/>
      <c r="AF111" s="120"/>
      <c r="AG111" s="120"/>
      <c r="AH111" s="120"/>
      <c r="AI111" s="120"/>
      <c r="AJ111" s="120"/>
      <c r="AK111" s="120"/>
      <c r="AL111" s="120"/>
      <c r="AM111" s="120"/>
    </row>
    <row r="112" spans="1:39" s="118" customFormat="1" ht="104.25" hidden="1" customHeight="1" x14ac:dyDescent="0.3">
      <c r="A112" s="124" t="s">
        <v>311</v>
      </c>
      <c r="B112" s="120" t="s">
        <v>50</v>
      </c>
      <c r="C112" s="166" t="s">
        <v>445</v>
      </c>
      <c r="D112" s="120" t="s">
        <v>50</v>
      </c>
      <c r="E112" s="120" t="s">
        <v>389</v>
      </c>
      <c r="F112" s="120">
        <v>84131501</v>
      </c>
      <c r="G112" s="116" t="s">
        <v>351</v>
      </c>
      <c r="H112" s="117">
        <v>1</v>
      </c>
      <c r="I112" s="117">
        <v>6</v>
      </c>
      <c r="J112" s="117">
        <v>6</v>
      </c>
      <c r="K112" s="98">
        <v>1</v>
      </c>
      <c r="L112" s="120" t="s">
        <v>91</v>
      </c>
      <c r="M112" s="117" t="s">
        <v>394</v>
      </c>
      <c r="N112" s="125">
        <v>21305678</v>
      </c>
      <c r="O112" s="120">
        <v>1</v>
      </c>
      <c r="P112" s="120">
        <v>3</v>
      </c>
      <c r="Q112" s="120" t="s">
        <v>123</v>
      </c>
      <c r="R112" s="120" t="s">
        <v>122</v>
      </c>
      <c r="S112" s="116" t="s">
        <v>248</v>
      </c>
      <c r="T112" s="117">
        <v>3846666</v>
      </c>
      <c r="U112" s="123" t="s">
        <v>249</v>
      </c>
      <c r="V112" s="120" t="s">
        <v>397</v>
      </c>
      <c r="W112" s="102" t="s">
        <v>65</v>
      </c>
      <c r="X112" s="128" t="s">
        <v>398</v>
      </c>
      <c r="Y112" s="120"/>
      <c r="Z112" s="120"/>
      <c r="AA112" s="120"/>
      <c r="AB112" s="8">
        <f t="shared" si="8"/>
        <v>21305678</v>
      </c>
      <c r="AC112" s="120"/>
      <c r="AD112" s="120"/>
      <c r="AE112" s="120"/>
      <c r="AF112" s="120"/>
      <c r="AG112" s="120"/>
      <c r="AH112" s="120"/>
      <c r="AI112" s="120"/>
      <c r="AJ112" s="120"/>
      <c r="AK112" s="120"/>
      <c r="AL112" s="120"/>
      <c r="AM112" s="120"/>
    </row>
    <row r="113" spans="1:39" s="118" customFormat="1" ht="104.25" hidden="1" customHeight="1" x14ac:dyDescent="0.3">
      <c r="A113" s="124" t="s">
        <v>312</v>
      </c>
      <c r="B113" s="120" t="s">
        <v>50</v>
      </c>
      <c r="C113" s="168" t="s">
        <v>446</v>
      </c>
      <c r="D113" s="120" t="s">
        <v>50</v>
      </c>
      <c r="E113" s="120" t="s">
        <v>389</v>
      </c>
      <c r="F113" s="120" t="s">
        <v>50</v>
      </c>
      <c r="G113" s="116" t="s">
        <v>352</v>
      </c>
      <c r="H113" s="117" t="s">
        <v>50</v>
      </c>
      <c r="I113" s="117" t="s">
        <v>50</v>
      </c>
      <c r="J113" s="117" t="s">
        <v>50</v>
      </c>
      <c r="K113" s="117" t="s">
        <v>50</v>
      </c>
      <c r="L113" s="120" t="s">
        <v>52</v>
      </c>
      <c r="M113" s="117" t="s">
        <v>394</v>
      </c>
      <c r="N113" s="125">
        <f>35000*11</f>
        <v>385000</v>
      </c>
      <c r="O113" s="7">
        <v>0</v>
      </c>
      <c r="P113" s="7">
        <v>0</v>
      </c>
      <c r="Q113" s="120" t="s">
        <v>123</v>
      </c>
      <c r="R113" s="120" t="s">
        <v>122</v>
      </c>
      <c r="S113" s="116" t="s">
        <v>248</v>
      </c>
      <c r="T113" s="117">
        <v>3846666</v>
      </c>
      <c r="U113" s="123" t="s">
        <v>249</v>
      </c>
      <c r="V113" s="120" t="s">
        <v>397</v>
      </c>
      <c r="W113" s="102" t="s">
        <v>399</v>
      </c>
      <c r="X113" s="128" t="s">
        <v>398</v>
      </c>
      <c r="Y113" s="120"/>
      <c r="Z113" s="120"/>
      <c r="AA113" s="120"/>
      <c r="AB113" s="8">
        <f t="shared" si="8"/>
        <v>385000</v>
      </c>
      <c r="AC113" s="120"/>
      <c r="AD113" s="120"/>
      <c r="AE113" s="120"/>
      <c r="AF113" s="120"/>
      <c r="AG113" s="120"/>
      <c r="AH113" s="120"/>
      <c r="AI113" s="120"/>
      <c r="AJ113" s="120"/>
      <c r="AK113" s="120"/>
      <c r="AL113" s="120"/>
      <c r="AM113" s="120"/>
    </row>
    <row r="114" spans="1:39" s="118" customFormat="1" ht="104.25" hidden="1" customHeight="1" x14ac:dyDescent="0.3">
      <c r="A114" s="124" t="s">
        <v>313</v>
      </c>
      <c r="B114" s="120" t="s">
        <v>50</v>
      </c>
      <c r="C114" s="168" t="s">
        <v>446</v>
      </c>
      <c r="D114" s="120" t="s">
        <v>50</v>
      </c>
      <c r="E114" s="120" t="s">
        <v>389</v>
      </c>
      <c r="F114" s="120">
        <v>80111600</v>
      </c>
      <c r="G114" s="116" t="s">
        <v>353</v>
      </c>
      <c r="H114" s="117">
        <v>1</v>
      </c>
      <c r="I114" s="117">
        <v>1</v>
      </c>
      <c r="J114" s="117">
        <v>11</v>
      </c>
      <c r="K114" s="98">
        <v>1</v>
      </c>
      <c r="L114" s="120" t="s">
        <v>45</v>
      </c>
      <c r="M114" s="117" t="s">
        <v>394</v>
      </c>
      <c r="N114" s="125">
        <f>2731582*11</f>
        <v>30047402</v>
      </c>
      <c r="O114" s="7">
        <v>0</v>
      </c>
      <c r="P114" s="7">
        <v>0</v>
      </c>
      <c r="Q114" s="120" t="s">
        <v>123</v>
      </c>
      <c r="R114" s="120" t="s">
        <v>122</v>
      </c>
      <c r="S114" s="116" t="s">
        <v>248</v>
      </c>
      <c r="T114" s="117">
        <v>3846666</v>
      </c>
      <c r="U114" s="123" t="s">
        <v>249</v>
      </c>
      <c r="V114" s="120" t="s">
        <v>397</v>
      </c>
      <c r="W114" s="102" t="s">
        <v>58</v>
      </c>
      <c r="X114" s="128" t="s">
        <v>398</v>
      </c>
      <c r="Y114" s="120"/>
      <c r="Z114" s="120"/>
      <c r="AA114" s="120"/>
      <c r="AB114" s="8">
        <f t="shared" si="8"/>
        <v>30047402</v>
      </c>
      <c r="AC114" s="120"/>
      <c r="AD114" s="120"/>
      <c r="AE114" s="120"/>
      <c r="AF114" s="120"/>
      <c r="AG114" s="120"/>
      <c r="AH114" s="120"/>
      <c r="AI114" s="120"/>
      <c r="AJ114" s="120"/>
      <c r="AK114" s="120"/>
      <c r="AL114" s="120"/>
      <c r="AM114" s="120"/>
    </row>
    <row r="115" spans="1:39" s="118" customFormat="1" ht="104.25" hidden="1" customHeight="1" x14ac:dyDescent="0.3">
      <c r="A115" s="124" t="s">
        <v>313</v>
      </c>
      <c r="B115" s="120" t="s">
        <v>50</v>
      </c>
      <c r="C115" s="168" t="s">
        <v>446</v>
      </c>
      <c r="D115" s="120" t="s">
        <v>50</v>
      </c>
      <c r="E115" s="120" t="s">
        <v>392</v>
      </c>
      <c r="F115" s="120">
        <v>80111600</v>
      </c>
      <c r="G115" s="116" t="s">
        <v>354</v>
      </c>
      <c r="H115" s="117">
        <v>1</v>
      </c>
      <c r="I115" s="117">
        <v>1</v>
      </c>
      <c r="J115" s="117">
        <v>11</v>
      </c>
      <c r="K115" s="98">
        <v>1</v>
      </c>
      <c r="L115" s="120" t="s">
        <v>45</v>
      </c>
      <c r="M115" s="117" t="s">
        <v>394</v>
      </c>
      <c r="N115" s="125">
        <f>2650000*11</f>
        <v>29150000</v>
      </c>
      <c r="O115" s="7">
        <v>0</v>
      </c>
      <c r="P115" s="7">
        <v>0</v>
      </c>
      <c r="Q115" s="120" t="s">
        <v>123</v>
      </c>
      <c r="R115" s="120" t="s">
        <v>122</v>
      </c>
      <c r="S115" s="116" t="s">
        <v>248</v>
      </c>
      <c r="T115" s="117">
        <v>3846666</v>
      </c>
      <c r="U115" s="123" t="s">
        <v>249</v>
      </c>
      <c r="V115" s="120" t="s">
        <v>397</v>
      </c>
      <c r="W115" s="102" t="s">
        <v>58</v>
      </c>
      <c r="X115" s="128" t="s">
        <v>398</v>
      </c>
      <c r="Y115" s="120"/>
      <c r="Z115" s="120"/>
      <c r="AA115" s="120"/>
      <c r="AB115" s="8">
        <f t="shared" si="8"/>
        <v>29150000</v>
      </c>
      <c r="AC115" s="120"/>
      <c r="AD115" s="120"/>
      <c r="AE115" s="120"/>
      <c r="AF115" s="120"/>
      <c r="AG115" s="120"/>
      <c r="AH115" s="120"/>
      <c r="AI115" s="120"/>
      <c r="AJ115" s="120"/>
      <c r="AK115" s="120"/>
      <c r="AL115" s="120"/>
      <c r="AM115" s="120"/>
    </row>
    <row r="116" spans="1:39" s="118" customFormat="1" ht="104.25" hidden="1" customHeight="1" x14ac:dyDescent="0.3">
      <c r="A116" s="124" t="s">
        <v>313</v>
      </c>
      <c r="B116" s="120" t="s">
        <v>50</v>
      </c>
      <c r="C116" s="168" t="s">
        <v>446</v>
      </c>
      <c r="D116" s="120" t="s">
        <v>50</v>
      </c>
      <c r="E116" s="120" t="s">
        <v>392</v>
      </c>
      <c r="F116" s="120">
        <v>80111600</v>
      </c>
      <c r="G116" s="116" t="s">
        <v>355</v>
      </c>
      <c r="H116" s="117">
        <v>1</v>
      </c>
      <c r="I116" s="117">
        <v>1</v>
      </c>
      <c r="J116" s="117">
        <v>11</v>
      </c>
      <c r="K116" s="98">
        <v>1</v>
      </c>
      <c r="L116" s="120" t="s">
        <v>45</v>
      </c>
      <c r="M116" s="117" t="s">
        <v>394</v>
      </c>
      <c r="N116" s="125">
        <f>(3311421*11)-550000</f>
        <v>35875631</v>
      </c>
      <c r="O116" s="7">
        <v>0</v>
      </c>
      <c r="P116" s="7">
        <v>0</v>
      </c>
      <c r="Q116" s="120" t="s">
        <v>123</v>
      </c>
      <c r="R116" s="120" t="s">
        <v>122</v>
      </c>
      <c r="S116" s="116" t="s">
        <v>248</v>
      </c>
      <c r="T116" s="117">
        <v>3846666</v>
      </c>
      <c r="U116" s="123" t="s">
        <v>249</v>
      </c>
      <c r="V116" s="120" t="s">
        <v>397</v>
      </c>
      <c r="W116" s="102" t="s">
        <v>46</v>
      </c>
      <c r="X116" s="128" t="s">
        <v>398</v>
      </c>
      <c r="Y116" s="120"/>
      <c r="Z116" s="120"/>
      <c r="AA116" s="120"/>
      <c r="AB116" s="8">
        <f t="shared" si="8"/>
        <v>35875631</v>
      </c>
      <c r="AC116" s="120"/>
      <c r="AD116" s="120"/>
      <c r="AE116" s="120"/>
      <c r="AF116" s="120"/>
      <c r="AG116" s="120"/>
      <c r="AH116" s="120"/>
      <c r="AI116" s="120"/>
      <c r="AJ116" s="120"/>
      <c r="AK116" s="120"/>
      <c r="AL116" s="120"/>
      <c r="AM116" s="120"/>
    </row>
    <row r="117" spans="1:39" s="118" customFormat="1" ht="104.25" hidden="1" customHeight="1" x14ac:dyDescent="0.3">
      <c r="A117" s="124" t="s">
        <v>313</v>
      </c>
      <c r="B117" s="120" t="s">
        <v>50</v>
      </c>
      <c r="C117" s="168" t="s">
        <v>446</v>
      </c>
      <c r="D117" s="120" t="s">
        <v>50</v>
      </c>
      <c r="E117" s="120" t="s">
        <v>389</v>
      </c>
      <c r="F117" s="120">
        <v>80111600</v>
      </c>
      <c r="G117" s="116" t="s">
        <v>356</v>
      </c>
      <c r="H117" s="117">
        <v>1</v>
      </c>
      <c r="I117" s="117">
        <v>1</v>
      </c>
      <c r="J117" s="117">
        <v>6</v>
      </c>
      <c r="K117" s="98">
        <v>1</v>
      </c>
      <c r="L117" s="120" t="s">
        <v>45</v>
      </c>
      <c r="M117" s="117" t="s">
        <v>410</v>
      </c>
      <c r="N117" s="125">
        <v>6360000</v>
      </c>
      <c r="O117" s="7">
        <v>0</v>
      </c>
      <c r="P117" s="7">
        <v>0</v>
      </c>
      <c r="Q117" s="120" t="s">
        <v>123</v>
      </c>
      <c r="R117" s="120" t="s">
        <v>122</v>
      </c>
      <c r="S117" s="116" t="s">
        <v>248</v>
      </c>
      <c r="T117" s="117">
        <v>3846666</v>
      </c>
      <c r="U117" s="123" t="s">
        <v>249</v>
      </c>
      <c r="V117" s="120" t="s">
        <v>397</v>
      </c>
      <c r="W117" s="102" t="s">
        <v>65</v>
      </c>
      <c r="X117" s="128" t="s">
        <v>398</v>
      </c>
      <c r="Y117" s="120"/>
      <c r="Z117" s="120"/>
      <c r="AA117" s="120"/>
      <c r="AB117" s="8">
        <f t="shared" si="8"/>
        <v>6360000</v>
      </c>
      <c r="AC117" s="120"/>
      <c r="AD117" s="120"/>
      <c r="AE117" s="120"/>
      <c r="AF117" s="120"/>
      <c r="AG117" s="120"/>
      <c r="AH117" s="120"/>
      <c r="AI117" s="120"/>
      <c r="AJ117" s="120"/>
      <c r="AK117" s="120"/>
      <c r="AL117" s="120"/>
      <c r="AM117" s="120"/>
    </row>
    <row r="118" spans="1:39" s="118" customFormat="1" ht="104.25" hidden="1" customHeight="1" x14ac:dyDescent="0.3">
      <c r="A118" s="124" t="s">
        <v>313</v>
      </c>
      <c r="B118" s="120" t="s">
        <v>50</v>
      </c>
      <c r="C118" s="168" t="s">
        <v>446</v>
      </c>
      <c r="D118" s="120" t="s">
        <v>50</v>
      </c>
      <c r="E118" s="120" t="s">
        <v>392</v>
      </c>
      <c r="F118" s="120">
        <v>93161800</v>
      </c>
      <c r="G118" s="116" t="s">
        <v>357</v>
      </c>
      <c r="H118" s="117">
        <v>3</v>
      </c>
      <c r="I118" s="117">
        <v>3</v>
      </c>
      <c r="J118" s="117">
        <v>5</v>
      </c>
      <c r="K118" s="98">
        <v>1</v>
      </c>
      <c r="L118" s="120" t="s">
        <v>45</v>
      </c>
      <c r="M118" s="117" t="s">
        <v>410</v>
      </c>
      <c r="N118" s="125">
        <f>3200000*5</f>
        <v>16000000</v>
      </c>
      <c r="O118" s="7">
        <v>0</v>
      </c>
      <c r="P118" s="7">
        <v>0</v>
      </c>
      <c r="Q118" s="120" t="s">
        <v>123</v>
      </c>
      <c r="R118" s="120" t="s">
        <v>122</v>
      </c>
      <c r="S118" s="116" t="s">
        <v>248</v>
      </c>
      <c r="T118" s="117">
        <v>3846666</v>
      </c>
      <c r="U118" s="123" t="s">
        <v>249</v>
      </c>
      <c r="V118" s="120" t="s">
        <v>397</v>
      </c>
      <c r="W118" s="102" t="s">
        <v>46</v>
      </c>
      <c r="X118" s="128" t="s">
        <v>398</v>
      </c>
      <c r="Y118" s="120"/>
      <c r="Z118" s="120"/>
      <c r="AA118" s="120"/>
      <c r="AB118" s="8">
        <f t="shared" si="8"/>
        <v>16000000</v>
      </c>
      <c r="AC118" s="120"/>
      <c r="AD118" s="120"/>
      <c r="AE118" s="120"/>
      <c r="AF118" s="120"/>
      <c r="AG118" s="120"/>
      <c r="AH118" s="120"/>
      <c r="AI118" s="120"/>
      <c r="AJ118" s="120"/>
      <c r="AK118" s="120"/>
      <c r="AL118" s="120"/>
      <c r="AM118" s="120"/>
    </row>
    <row r="119" spans="1:39" s="118" customFormat="1" ht="104.25" hidden="1" customHeight="1" x14ac:dyDescent="0.3">
      <c r="A119" s="124" t="s">
        <v>313</v>
      </c>
      <c r="B119" s="120" t="s">
        <v>50</v>
      </c>
      <c r="C119" s="168" t="s">
        <v>446</v>
      </c>
      <c r="D119" s="120" t="s">
        <v>50</v>
      </c>
      <c r="E119" s="120" t="s">
        <v>389</v>
      </c>
      <c r="F119" s="120">
        <v>80111600</v>
      </c>
      <c r="G119" s="116" t="s">
        <v>358</v>
      </c>
      <c r="H119" s="117">
        <v>1</v>
      </c>
      <c r="I119" s="117">
        <v>1</v>
      </c>
      <c r="J119" s="117">
        <v>10</v>
      </c>
      <c r="K119" s="98">
        <v>1</v>
      </c>
      <c r="L119" s="120" t="s">
        <v>45</v>
      </c>
      <c r="M119" s="117" t="s">
        <v>394</v>
      </c>
      <c r="N119" s="125">
        <f>2500000*10</f>
        <v>25000000</v>
      </c>
      <c r="O119" s="7">
        <v>0</v>
      </c>
      <c r="P119" s="7">
        <v>0</v>
      </c>
      <c r="Q119" s="120" t="s">
        <v>123</v>
      </c>
      <c r="R119" s="120" t="s">
        <v>122</v>
      </c>
      <c r="S119" s="116" t="s">
        <v>248</v>
      </c>
      <c r="T119" s="117">
        <v>3846666</v>
      </c>
      <c r="U119" s="123" t="s">
        <v>249</v>
      </c>
      <c r="V119" s="120" t="s">
        <v>397</v>
      </c>
      <c r="W119" s="102" t="s">
        <v>46</v>
      </c>
      <c r="X119" s="128" t="s">
        <v>398</v>
      </c>
      <c r="Y119" s="120"/>
      <c r="Z119" s="120"/>
      <c r="AA119" s="120"/>
      <c r="AB119" s="8">
        <f t="shared" si="8"/>
        <v>25000000</v>
      </c>
      <c r="AC119" s="120"/>
      <c r="AD119" s="120"/>
      <c r="AE119" s="120"/>
      <c r="AF119" s="120"/>
      <c r="AG119" s="120"/>
      <c r="AH119" s="120"/>
      <c r="AI119" s="120"/>
      <c r="AJ119" s="120"/>
      <c r="AK119" s="120"/>
      <c r="AL119" s="120"/>
      <c r="AM119" s="120"/>
    </row>
    <row r="120" spans="1:39" s="118" customFormat="1" ht="104.25" hidden="1" customHeight="1" x14ac:dyDescent="0.3">
      <c r="A120" s="124" t="s">
        <v>313</v>
      </c>
      <c r="B120" s="120" t="s">
        <v>50</v>
      </c>
      <c r="C120" s="168" t="s">
        <v>446</v>
      </c>
      <c r="D120" s="120" t="s">
        <v>50</v>
      </c>
      <c r="E120" s="120" t="s">
        <v>389</v>
      </c>
      <c r="F120" s="120">
        <v>72103300</v>
      </c>
      <c r="G120" s="116" t="s">
        <v>359</v>
      </c>
      <c r="H120" s="117">
        <v>3</v>
      </c>
      <c r="I120" s="117">
        <v>5</v>
      </c>
      <c r="J120" s="117">
        <v>3</v>
      </c>
      <c r="K120" s="98">
        <v>1</v>
      </c>
      <c r="L120" s="120" t="s">
        <v>45</v>
      </c>
      <c r="M120" s="117" t="s">
        <v>394</v>
      </c>
      <c r="N120" s="125">
        <v>10000000</v>
      </c>
      <c r="O120" s="7">
        <v>0</v>
      </c>
      <c r="P120" s="7">
        <v>0</v>
      </c>
      <c r="Q120" s="120" t="s">
        <v>123</v>
      </c>
      <c r="R120" s="120" t="s">
        <v>122</v>
      </c>
      <c r="S120" s="116" t="s">
        <v>248</v>
      </c>
      <c r="T120" s="117">
        <v>3846666</v>
      </c>
      <c r="U120" s="123" t="s">
        <v>249</v>
      </c>
      <c r="V120" s="120" t="s">
        <v>397</v>
      </c>
      <c r="W120" s="102" t="s">
        <v>46</v>
      </c>
      <c r="X120" s="128" t="s">
        <v>398</v>
      </c>
      <c r="Y120" s="120"/>
      <c r="Z120" s="120"/>
      <c r="AA120" s="120"/>
      <c r="AB120" s="8">
        <f t="shared" si="8"/>
        <v>10000000</v>
      </c>
      <c r="AC120" s="120"/>
      <c r="AD120" s="120"/>
      <c r="AE120" s="120"/>
      <c r="AF120" s="120"/>
      <c r="AG120" s="120"/>
      <c r="AH120" s="120"/>
      <c r="AI120" s="120"/>
      <c r="AJ120" s="120"/>
      <c r="AK120" s="120"/>
      <c r="AL120" s="120"/>
      <c r="AM120" s="120"/>
    </row>
    <row r="121" spans="1:39" s="118" customFormat="1" ht="104.25" hidden="1" customHeight="1" x14ac:dyDescent="0.3">
      <c r="A121" s="124" t="s">
        <v>313</v>
      </c>
      <c r="B121" s="120" t="s">
        <v>50</v>
      </c>
      <c r="C121" s="168" t="s">
        <v>446</v>
      </c>
      <c r="D121" s="120" t="s">
        <v>50</v>
      </c>
      <c r="E121" s="120" t="s">
        <v>254</v>
      </c>
      <c r="F121" s="120">
        <v>80111600</v>
      </c>
      <c r="G121" s="131" t="s">
        <v>360</v>
      </c>
      <c r="H121" s="117">
        <v>1</v>
      </c>
      <c r="I121" s="117">
        <v>1</v>
      </c>
      <c r="J121" s="117">
        <v>11</v>
      </c>
      <c r="K121" s="98">
        <v>1</v>
      </c>
      <c r="L121" s="120" t="s">
        <v>45</v>
      </c>
      <c r="M121" s="117" t="s">
        <v>410</v>
      </c>
      <c r="N121" s="132">
        <f>2500000*11</f>
        <v>27500000</v>
      </c>
      <c r="O121" s="7">
        <v>0</v>
      </c>
      <c r="P121" s="7">
        <v>0</v>
      </c>
      <c r="Q121" s="120" t="s">
        <v>123</v>
      </c>
      <c r="R121" s="120" t="s">
        <v>122</v>
      </c>
      <c r="S121" s="116" t="s">
        <v>248</v>
      </c>
      <c r="T121" s="117">
        <v>3846666</v>
      </c>
      <c r="U121" s="123" t="s">
        <v>249</v>
      </c>
      <c r="V121" s="120" t="s">
        <v>397</v>
      </c>
      <c r="W121" s="102" t="s">
        <v>58</v>
      </c>
      <c r="X121" s="125" t="s">
        <v>247</v>
      </c>
      <c r="Y121" s="120"/>
      <c r="Z121" s="120"/>
      <c r="AA121" s="120"/>
      <c r="AB121" s="8">
        <f t="shared" si="8"/>
        <v>27500000</v>
      </c>
      <c r="AC121" s="120"/>
      <c r="AD121" s="120"/>
      <c r="AE121" s="120"/>
      <c r="AF121" s="120"/>
      <c r="AG121" s="120"/>
      <c r="AH121" s="120"/>
      <c r="AI121" s="120"/>
      <c r="AJ121" s="120"/>
      <c r="AK121" s="120"/>
      <c r="AL121" s="120"/>
      <c r="AM121" s="120"/>
    </row>
    <row r="122" spans="1:39" s="118" customFormat="1" ht="104.25" hidden="1" customHeight="1" x14ac:dyDescent="0.3">
      <c r="A122" s="124" t="s">
        <v>314</v>
      </c>
      <c r="B122" s="120" t="s">
        <v>50</v>
      </c>
      <c r="C122" s="168" t="s">
        <v>446</v>
      </c>
      <c r="D122" s="120" t="s">
        <v>50</v>
      </c>
      <c r="E122" s="120" t="s">
        <v>123</v>
      </c>
      <c r="F122" s="120">
        <v>80111600</v>
      </c>
      <c r="G122" s="116" t="s">
        <v>361</v>
      </c>
      <c r="H122" s="117">
        <v>1</v>
      </c>
      <c r="I122" s="117">
        <v>1</v>
      </c>
      <c r="J122" s="117">
        <v>11</v>
      </c>
      <c r="K122" s="98">
        <v>1</v>
      </c>
      <c r="L122" s="120" t="s">
        <v>45</v>
      </c>
      <c r="M122" s="117" t="s">
        <v>394</v>
      </c>
      <c r="N122" s="125">
        <f>3732548*11</f>
        <v>41058028</v>
      </c>
      <c r="O122" s="7">
        <v>0</v>
      </c>
      <c r="P122" s="7">
        <v>0</v>
      </c>
      <c r="Q122" s="120" t="s">
        <v>123</v>
      </c>
      <c r="R122" s="120" t="s">
        <v>122</v>
      </c>
      <c r="S122" s="116" t="s">
        <v>263</v>
      </c>
      <c r="T122" s="116">
        <v>3846666</v>
      </c>
      <c r="U122" s="138" t="s">
        <v>266</v>
      </c>
      <c r="V122" s="120" t="s">
        <v>397</v>
      </c>
      <c r="W122" s="102" t="s">
        <v>46</v>
      </c>
      <c r="X122" s="116" t="s">
        <v>263</v>
      </c>
      <c r="Y122" s="120"/>
      <c r="Z122" s="120"/>
      <c r="AA122" s="120"/>
      <c r="AB122" s="8">
        <f t="shared" si="8"/>
        <v>41058028</v>
      </c>
      <c r="AC122" s="120"/>
      <c r="AD122" s="120"/>
      <c r="AE122" s="120"/>
      <c r="AF122" s="120"/>
      <c r="AG122" s="120"/>
      <c r="AH122" s="120"/>
      <c r="AI122" s="120"/>
      <c r="AJ122" s="120"/>
      <c r="AK122" s="120"/>
      <c r="AL122" s="120"/>
      <c r="AM122" s="120"/>
    </row>
    <row r="123" spans="1:39" s="118" customFormat="1" ht="104.25" hidden="1" customHeight="1" x14ac:dyDescent="0.3">
      <c r="A123" s="133" t="s">
        <v>314</v>
      </c>
      <c r="B123" s="120" t="s">
        <v>50</v>
      </c>
      <c r="C123" s="168" t="s">
        <v>446</v>
      </c>
      <c r="D123" s="120" t="s">
        <v>50</v>
      </c>
      <c r="E123" s="120" t="s">
        <v>391</v>
      </c>
      <c r="F123" s="120">
        <v>80111600</v>
      </c>
      <c r="G123" s="116" t="s">
        <v>362</v>
      </c>
      <c r="H123" s="117">
        <v>1</v>
      </c>
      <c r="I123" s="117">
        <v>1</v>
      </c>
      <c r="J123" s="117">
        <v>11</v>
      </c>
      <c r="K123" s="98">
        <v>1</v>
      </c>
      <c r="L123" s="120" t="s">
        <v>45</v>
      </c>
      <c r="M123" s="117" t="s">
        <v>394</v>
      </c>
      <c r="N123" s="125">
        <f>3420560*11</f>
        <v>37626160</v>
      </c>
      <c r="O123" s="7">
        <v>0</v>
      </c>
      <c r="P123" s="7">
        <v>0</v>
      </c>
      <c r="Q123" s="120" t="s">
        <v>123</v>
      </c>
      <c r="R123" s="120" t="s">
        <v>122</v>
      </c>
      <c r="S123" s="116" t="s">
        <v>395</v>
      </c>
      <c r="T123" s="116">
        <v>3846666</v>
      </c>
      <c r="U123" s="123" t="s">
        <v>396</v>
      </c>
      <c r="V123" s="120" t="s">
        <v>397</v>
      </c>
      <c r="W123" s="102" t="s">
        <v>46</v>
      </c>
      <c r="X123" s="116" t="s">
        <v>395</v>
      </c>
      <c r="Y123" s="120"/>
      <c r="Z123" s="120"/>
      <c r="AA123" s="120"/>
      <c r="AB123" s="8">
        <f t="shared" si="8"/>
        <v>37626160</v>
      </c>
      <c r="AC123" s="120"/>
      <c r="AD123" s="120"/>
      <c r="AE123" s="120"/>
      <c r="AF123" s="120"/>
      <c r="AG123" s="120"/>
      <c r="AH123" s="120"/>
      <c r="AI123" s="120"/>
      <c r="AJ123" s="120"/>
      <c r="AK123" s="120"/>
      <c r="AL123" s="120"/>
      <c r="AM123" s="120"/>
    </row>
    <row r="124" spans="1:39" s="118" customFormat="1" ht="104.25" hidden="1" customHeight="1" x14ac:dyDescent="0.3">
      <c r="A124" s="124" t="s">
        <v>315</v>
      </c>
      <c r="B124" s="120" t="s">
        <v>50</v>
      </c>
      <c r="C124" s="168" t="s">
        <v>446</v>
      </c>
      <c r="D124" s="120" t="s">
        <v>50</v>
      </c>
      <c r="E124" s="120" t="s">
        <v>389</v>
      </c>
      <c r="F124" s="120">
        <v>83111500</v>
      </c>
      <c r="G124" s="116" t="s">
        <v>363</v>
      </c>
      <c r="H124" s="117" t="s">
        <v>50</v>
      </c>
      <c r="I124" s="117" t="s">
        <v>50</v>
      </c>
      <c r="J124" s="117" t="s">
        <v>50</v>
      </c>
      <c r="K124" s="117" t="s">
        <v>50</v>
      </c>
      <c r="L124" s="120" t="s">
        <v>52</v>
      </c>
      <c r="M124" s="117" t="s">
        <v>410</v>
      </c>
      <c r="N124" s="125">
        <v>17160000</v>
      </c>
      <c r="O124" s="7">
        <v>0</v>
      </c>
      <c r="P124" s="7">
        <v>0</v>
      </c>
      <c r="Q124" s="120" t="s">
        <v>123</v>
      </c>
      <c r="R124" s="120" t="s">
        <v>122</v>
      </c>
      <c r="S124" s="116" t="s">
        <v>248</v>
      </c>
      <c r="T124" s="117">
        <v>3846666</v>
      </c>
      <c r="U124" s="123" t="s">
        <v>249</v>
      </c>
      <c r="V124" s="120" t="s">
        <v>397</v>
      </c>
      <c r="W124" s="102" t="s">
        <v>65</v>
      </c>
      <c r="X124" s="116" t="s">
        <v>398</v>
      </c>
      <c r="Y124" s="120"/>
      <c r="Z124" s="120"/>
      <c r="AA124" s="120"/>
      <c r="AB124" s="8">
        <f t="shared" si="8"/>
        <v>17160000</v>
      </c>
      <c r="AC124" s="120"/>
      <c r="AD124" s="120"/>
      <c r="AE124" s="120"/>
      <c r="AF124" s="120"/>
      <c r="AG124" s="120"/>
      <c r="AH124" s="120"/>
      <c r="AI124" s="120"/>
      <c r="AJ124" s="120"/>
      <c r="AK124" s="120"/>
      <c r="AL124" s="120"/>
      <c r="AM124" s="120"/>
    </row>
    <row r="125" spans="1:39" s="118" customFormat="1" ht="104.25" hidden="1" customHeight="1" x14ac:dyDescent="0.3">
      <c r="A125" s="124" t="s">
        <v>315</v>
      </c>
      <c r="B125" s="120" t="s">
        <v>50</v>
      </c>
      <c r="C125" s="168" t="s">
        <v>446</v>
      </c>
      <c r="D125" s="120" t="s">
        <v>50</v>
      </c>
      <c r="E125" s="120" t="s">
        <v>268</v>
      </c>
      <c r="F125" s="120">
        <v>81112100</v>
      </c>
      <c r="G125" s="116" t="s">
        <v>364</v>
      </c>
      <c r="H125" s="117">
        <v>5</v>
      </c>
      <c r="I125" s="117">
        <v>5</v>
      </c>
      <c r="J125" s="117">
        <v>7</v>
      </c>
      <c r="K125" s="98">
        <v>1</v>
      </c>
      <c r="L125" s="7" t="s">
        <v>455</v>
      </c>
      <c r="M125" s="117" t="s">
        <v>394</v>
      </c>
      <c r="N125" s="125">
        <f>5200000-1881472</f>
        <v>3318528</v>
      </c>
      <c r="O125" s="7">
        <v>0</v>
      </c>
      <c r="P125" s="7">
        <v>0</v>
      </c>
      <c r="Q125" s="120" t="s">
        <v>123</v>
      </c>
      <c r="R125" s="120" t="s">
        <v>122</v>
      </c>
      <c r="S125" s="116" t="s">
        <v>260</v>
      </c>
      <c r="T125" s="117">
        <v>3846666</v>
      </c>
      <c r="U125" s="123" t="s">
        <v>261</v>
      </c>
      <c r="V125" s="120" t="s">
        <v>397</v>
      </c>
      <c r="W125" s="102" t="s">
        <v>65</v>
      </c>
      <c r="X125" s="116" t="s">
        <v>293</v>
      </c>
      <c r="Y125" s="120"/>
      <c r="Z125" s="120"/>
      <c r="AA125" s="120"/>
      <c r="AB125" s="8">
        <f t="shared" si="8"/>
        <v>3318528</v>
      </c>
      <c r="AC125" s="120"/>
      <c r="AD125" s="120"/>
      <c r="AE125" s="120"/>
      <c r="AF125" s="120"/>
      <c r="AG125" s="120"/>
      <c r="AH125" s="120"/>
      <c r="AI125" s="120"/>
      <c r="AJ125" s="120"/>
      <c r="AK125" s="120"/>
      <c r="AL125" s="120"/>
      <c r="AM125" s="120"/>
    </row>
    <row r="126" spans="1:39" s="118" customFormat="1" ht="104.25" hidden="1" customHeight="1" x14ac:dyDescent="0.3">
      <c r="A126" s="124" t="s">
        <v>315</v>
      </c>
      <c r="B126" s="120" t="s">
        <v>50</v>
      </c>
      <c r="C126" s="168" t="s">
        <v>446</v>
      </c>
      <c r="D126" s="120" t="s">
        <v>50</v>
      </c>
      <c r="E126" s="120" t="s">
        <v>268</v>
      </c>
      <c r="F126" s="120">
        <v>81112100</v>
      </c>
      <c r="G126" s="116" t="s">
        <v>456</v>
      </c>
      <c r="H126" s="117">
        <v>1</v>
      </c>
      <c r="I126" s="117">
        <v>1</v>
      </c>
      <c r="J126" s="117" t="s">
        <v>460</v>
      </c>
      <c r="K126" s="7">
        <v>0</v>
      </c>
      <c r="L126" s="7" t="s">
        <v>455</v>
      </c>
      <c r="M126" s="117" t="s">
        <v>394</v>
      </c>
      <c r="N126" s="125">
        <v>1881472</v>
      </c>
      <c r="O126" s="120">
        <v>1</v>
      </c>
      <c r="P126" s="120">
        <v>3</v>
      </c>
      <c r="Q126" s="120" t="s">
        <v>123</v>
      </c>
      <c r="R126" s="120" t="s">
        <v>122</v>
      </c>
      <c r="S126" s="116" t="s">
        <v>260</v>
      </c>
      <c r="T126" s="117">
        <v>3846666</v>
      </c>
      <c r="U126" s="123" t="s">
        <v>261</v>
      </c>
      <c r="V126" s="120" t="s">
        <v>397</v>
      </c>
      <c r="W126" s="102" t="s">
        <v>65</v>
      </c>
      <c r="X126" s="116" t="s">
        <v>293</v>
      </c>
      <c r="Y126" s="120"/>
      <c r="Z126" s="120"/>
      <c r="AA126" s="120"/>
      <c r="AB126" s="8">
        <f t="shared" ref="AB126" si="9">+N126+Y126+Z126-AA126</f>
        <v>1881472</v>
      </c>
      <c r="AC126" s="120"/>
      <c r="AD126" s="120"/>
      <c r="AE126" s="120"/>
      <c r="AF126" s="120"/>
      <c r="AG126" s="120"/>
      <c r="AH126" s="120"/>
      <c r="AI126" s="120"/>
      <c r="AJ126" s="120"/>
      <c r="AK126" s="120"/>
      <c r="AL126" s="120"/>
      <c r="AM126" s="120"/>
    </row>
    <row r="127" spans="1:39" s="118" customFormat="1" ht="104.25" hidden="1" customHeight="1" x14ac:dyDescent="0.3">
      <c r="A127" s="124" t="s">
        <v>316</v>
      </c>
      <c r="B127" s="120" t="s">
        <v>50</v>
      </c>
      <c r="C127" s="168" t="s">
        <v>446</v>
      </c>
      <c r="D127" s="120" t="s">
        <v>50</v>
      </c>
      <c r="E127" s="120" t="s">
        <v>389</v>
      </c>
      <c r="F127" s="120">
        <v>92101501</v>
      </c>
      <c r="G127" s="116" t="s">
        <v>365</v>
      </c>
      <c r="H127" s="117">
        <v>2</v>
      </c>
      <c r="I127" s="117">
        <v>4</v>
      </c>
      <c r="J127" s="117">
        <v>8</v>
      </c>
      <c r="K127" s="98">
        <v>1</v>
      </c>
      <c r="L127" s="120" t="s">
        <v>393</v>
      </c>
      <c r="M127" s="117" t="s">
        <v>410</v>
      </c>
      <c r="N127" s="125">
        <v>85018841</v>
      </c>
      <c r="O127" s="7">
        <v>0</v>
      </c>
      <c r="P127" s="7">
        <v>0</v>
      </c>
      <c r="Q127" s="120" t="s">
        <v>123</v>
      </c>
      <c r="R127" s="120" t="s">
        <v>122</v>
      </c>
      <c r="S127" s="116" t="s">
        <v>248</v>
      </c>
      <c r="T127" s="117">
        <v>3846666</v>
      </c>
      <c r="U127" s="123" t="s">
        <v>249</v>
      </c>
      <c r="V127" s="120" t="s">
        <v>397</v>
      </c>
      <c r="W127" s="102" t="s">
        <v>65</v>
      </c>
      <c r="X127" s="116" t="s">
        <v>398</v>
      </c>
      <c r="Y127" s="120"/>
      <c r="Z127" s="120"/>
      <c r="AA127" s="120"/>
      <c r="AB127" s="8">
        <f t="shared" si="8"/>
        <v>85018841</v>
      </c>
      <c r="AC127" s="120"/>
      <c r="AD127" s="120"/>
      <c r="AE127" s="120"/>
      <c r="AF127" s="120"/>
      <c r="AG127" s="120"/>
      <c r="AH127" s="120"/>
      <c r="AI127" s="120"/>
      <c r="AJ127" s="120"/>
      <c r="AK127" s="120"/>
      <c r="AL127" s="120"/>
      <c r="AM127" s="120"/>
    </row>
    <row r="128" spans="1:39" s="118" customFormat="1" ht="104.25" hidden="1" customHeight="1" x14ac:dyDescent="0.3">
      <c r="A128" s="124" t="s">
        <v>316</v>
      </c>
      <c r="B128" s="120" t="s">
        <v>50</v>
      </c>
      <c r="C128" s="168" t="s">
        <v>446</v>
      </c>
      <c r="D128" s="120" t="s">
        <v>50</v>
      </c>
      <c r="E128" s="120" t="s">
        <v>389</v>
      </c>
      <c r="F128" s="120">
        <v>92101501</v>
      </c>
      <c r="G128" s="116" t="s">
        <v>366</v>
      </c>
      <c r="H128" s="117">
        <v>1</v>
      </c>
      <c r="I128" s="117">
        <v>1</v>
      </c>
      <c r="J128" s="117">
        <v>4</v>
      </c>
      <c r="K128" s="98">
        <v>1</v>
      </c>
      <c r="L128" s="120" t="s">
        <v>393</v>
      </c>
      <c r="M128" s="117" t="s">
        <v>394</v>
      </c>
      <c r="N128" s="125">
        <v>38249044</v>
      </c>
      <c r="O128" s="120">
        <v>1</v>
      </c>
      <c r="P128" s="120">
        <v>3</v>
      </c>
      <c r="Q128" s="120" t="s">
        <v>123</v>
      </c>
      <c r="R128" s="120" t="s">
        <v>122</v>
      </c>
      <c r="S128" s="116" t="s">
        <v>248</v>
      </c>
      <c r="T128" s="117">
        <v>3846666</v>
      </c>
      <c r="U128" s="123" t="s">
        <v>249</v>
      </c>
      <c r="V128" s="120" t="s">
        <v>397</v>
      </c>
      <c r="W128" s="102" t="s">
        <v>65</v>
      </c>
      <c r="X128" s="116" t="s">
        <v>398</v>
      </c>
      <c r="Y128" s="120"/>
      <c r="Z128" s="120"/>
      <c r="AA128" s="120"/>
      <c r="AB128" s="8">
        <f t="shared" si="8"/>
        <v>38249044</v>
      </c>
      <c r="AC128" s="120"/>
      <c r="AD128" s="120"/>
      <c r="AE128" s="120"/>
      <c r="AF128" s="120"/>
      <c r="AG128" s="120"/>
      <c r="AH128" s="120"/>
      <c r="AI128" s="120"/>
      <c r="AJ128" s="120"/>
      <c r="AK128" s="120"/>
      <c r="AL128" s="120"/>
      <c r="AM128" s="120"/>
    </row>
    <row r="129" spans="1:39" s="118" customFormat="1" ht="104.25" hidden="1" customHeight="1" x14ac:dyDescent="0.3">
      <c r="A129" s="124" t="s">
        <v>316</v>
      </c>
      <c r="B129" s="120" t="s">
        <v>50</v>
      </c>
      <c r="C129" s="168" t="s">
        <v>446</v>
      </c>
      <c r="D129" s="120" t="s">
        <v>50</v>
      </c>
      <c r="E129" s="120" t="s">
        <v>389</v>
      </c>
      <c r="F129" s="120">
        <v>76111501</v>
      </c>
      <c r="G129" s="116" t="s">
        <v>367</v>
      </c>
      <c r="H129" s="117">
        <v>2</v>
      </c>
      <c r="I129" s="117">
        <v>3</v>
      </c>
      <c r="J129" s="117">
        <v>9</v>
      </c>
      <c r="K129" s="98">
        <v>1</v>
      </c>
      <c r="L129" s="120" t="s">
        <v>393</v>
      </c>
      <c r="M129" s="117" t="s">
        <v>410</v>
      </c>
      <c r="N129" s="125">
        <v>28761365</v>
      </c>
      <c r="O129" s="7">
        <v>0</v>
      </c>
      <c r="P129" s="7">
        <v>0</v>
      </c>
      <c r="Q129" s="120" t="s">
        <v>123</v>
      </c>
      <c r="R129" s="120" t="s">
        <v>122</v>
      </c>
      <c r="S129" s="116" t="s">
        <v>248</v>
      </c>
      <c r="T129" s="117">
        <v>3846666</v>
      </c>
      <c r="U129" s="123" t="s">
        <v>249</v>
      </c>
      <c r="V129" s="120" t="s">
        <v>397</v>
      </c>
      <c r="W129" s="102" t="s">
        <v>65</v>
      </c>
      <c r="X129" s="116" t="s">
        <v>398</v>
      </c>
      <c r="Y129" s="120"/>
      <c r="Z129" s="120"/>
      <c r="AA129" s="120"/>
      <c r="AB129" s="8">
        <f t="shared" si="8"/>
        <v>28761365</v>
      </c>
      <c r="AC129" s="120"/>
      <c r="AD129" s="120"/>
      <c r="AE129" s="120"/>
      <c r="AF129" s="120"/>
      <c r="AG129" s="120"/>
      <c r="AH129" s="120"/>
      <c r="AI129" s="120"/>
      <c r="AJ129" s="120"/>
      <c r="AK129" s="120"/>
      <c r="AL129" s="120"/>
      <c r="AM129" s="120"/>
    </row>
    <row r="130" spans="1:39" s="118" customFormat="1" ht="104.25" hidden="1" customHeight="1" x14ac:dyDescent="0.3">
      <c r="A130" s="124" t="s">
        <v>316</v>
      </c>
      <c r="B130" s="120" t="s">
        <v>50</v>
      </c>
      <c r="C130" s="168" t="s">
        <v>446</v>
      </c>
      <c r="D130" s="120" t="s">
        <v>50</v>
      </c>
      <c r="E130" s="120" t="s">
        <v>389</v>
      </c>
      <c r="F130" s="120">
        <v>76111501</v>
      </c>
      <c r="G130" s="116" t="s">
        <v>368</v>
      </c>
      <c r="H130" s="117">
        <v>1</v>
      </c>
      <c r="I130" s="117">
        <v>1</v>
      </c>
      <c r="J130" s="117">
        <v>3</v>
      </c>
      <c r="K130" s="98">
        <v>1</v>
      </c>
      <c r="L130" s="120" t="s">
        <v>393</v>
      </c>
      <c r="M130" s="117" t="s">
        <v>394</v>
      </c>
      <c r="N130" s="125">
        <f>11827756-523599</f>
        <v>11304157</v>
      </c>
      <c r="O130" s="120">
        <v>1</v>
      </c>
      <c r="P130" s="120">
        <v>3</v>
      </c>
      <c r="Q130" s="120" t="s">
        <v>123</v>
      </c>
      <c r="R130" s="120" t="s">
        <v>122</v>
      </c>
      <c r="S130" s="116" t="s">
        <v>248</v>
      </c>
      <c r="T130" s="117">
        <v>3846666</v>
      </c>
      <c r="U130" s="123" t="s">
        <v>249</v>
      </c>
      <c r="V130" s="120" t="s">
        <v>397</v>
      </c>
      <c r="W130" s="102" t="s">
        <v>65</v>
      </c>
      <c r="X130" s="116" t="s">
        <v>398</v>
      </c>
      <c r="Y130" s="120"/>
      <c r="Z130" s="120"/>
      <c r="AA130" s="120"/>
      <c r="AB130" s="8">
        <f t="shared" si="8"/>
        <v>11304157</v>
      </c>
      <c r="AC130" s="120"/>
      <c r="AD130" s="120"/>
      <c r="AE130" s="120"/>
      <c r="AF130" s="120"/>
      <c r="AG130" s="120"/>
      <c r="AH130" s="120"/>
      <c r="AI130" s="120"/>
      <c r="AJ130" s="120"/>
      <c r="AK130" s="120"/>
      <c r="AL130" s="120"/>
      <c r="AM130" s="120"/>
    </row>
    <row r="131" spans="1:39" s="118" customFormat="1" ht="104.25" hidden="1" customHeight="1" x14ac:dyDescent="0.3">
      <c r="A131" s="124" t="s">
        <v>316</v>
      </c>
      <c r="B131" s="120" t="s">
        <v>50</v>
      </c>
      <c r="C131" s="168" t="s">
        <v>446</v>
      </c>
      <c r="D131" s="120" t="s">
        <v>50</v>
      </c>
      <c r="E131" s="120" t="s">
        <v>389</v>
      </c>
      <c r="F131" s="120">
        <v>47121600</v>
      </c>
      <c r="G131" s="116" t="s">
        <v>369</v>
      </c>
      <c r="H131" s="117">
        <v>2</v>
      </c>
      <c r="I131" s="117">
        <v>3</v>
      </c>
      <c r="J131" s="117">
        <v>9</v>
      </c>
      <c r="K131" s="98">
        <v>1</v>
      </c>
      <c r="L131" s="7" t="s">
        <v>455</v>
      </c>
      <c r="M131" s="117" t="s">
        <v>394</v>
      </c>
      <c r="N131" s="125">
        <v>1990497</v>
      </c>
      <c r="O131" s="7">
        <v>0</v>
      </c>
      <c r="P131" s="7">
        <v>0</v>
      </c>
      <c r="Q131" s="120" t="s">
        <v>123</v>
      </c>
      <c r="R131" s="120" t="s">
        <v>122</v>
      </c>
      <c r="S131" s="116" t="s">
        <v>248</v>
      </c>
      <c r="T131" s="117">
        <v>3846666</v>
      </c>
      <c r="U131" s="123" t="s">
        <v>249</v>
      </c>
      <c r="V131" s="120" t="s">
        <v>397</v>
      </c>
      <c r="W131" s="102" t="s">
        <v>65</v>
      </c>
      <c r="X131" s="116" t="s">
        <v>398</v>
      </c>
      <c r="Y131" s="120"/>
      <c r="Z131" s="120"/>
      <c r="AA131" s="120"/>
      <c r="AB131" s="8">
        <f t="shared" si="8"/>
        <v>1990497</v>
      </c>
      <c r="AC131" s="120"/>
      <c r="AD131" s="120"/>
      <c r="AE131" s="120"/>
      <c r="AF131" s="120"/>
      <c r="AG131" s="120"/>
      <c r="AH131" s="120"/>
      <c r="AI131" s="120"/>
      <c r="AJ131" s="120"/>
      <c r="AK131" s="120"/>
      <c r="AL131" s="120"/>
      <c r="AM131" s="120"/>
    </row>
    <row r="132" spans="1:39" s="118" customFormat="1" ht="104.25" hidden="1" customHeight="1" x14ac:dyDescent="0.3">
      <c r="A132" s="124" t="s">
        <v>316</v>
      </c>
      <c r="B132" s="120" t="s">
        <v>50</v>
      </c>
      <c r="C132" s="168" t="s">
        <v>446</v>
      </c>
      <c r="D132" s="120" t="s">
        <v>50</v>
      </c>
      <c r="E132" s="120" t="s">
        <v>389</v>
      </c>
      <c r="F132" s="120">
        <v>47121600</v>
      </c>
      <c r="G132" s="116" t="s">
        <v>370</v>
      </c>
      <c r="H132" s="117">
        <v>1</v>
      </c>
      <c r="I132" s="117">
        <v>1</v>
      </c>
      <c r="J132" s="117">
        <v>3</v>
      </c>
      <c r="K132" s="98">
        <v>1</v>
      </c>
      <c r="L132" s="7" t="s">
        <v>455</v>
      </c>
      <c r="M132" s="117" t="s">
        <v>394</v>
      </c>
      <c r="N132" s="125">
        <v>746435</v>
      </c>
      <c r="O132" s="120">
        <v>1</v>
      </c>
      <c r="P132" s="120">
        <v>3</v>
      </c>
      <c r="Q132" s="120" t="s">
        <v>123</v>
      </c>
      <c r="R132" s="120" t="s">
        <v>122</v>
      </c>
      <c r="S132" s="116" t="s">
        <v>248</v>
      </c>
      <c r="T132" s="117">
        <v>3846666</v>
      </c>
      <c r="U132" s="123" t="s">
        <v>249</v>
      </c>
      <c r="V132" s="120" t="s">
        <v>397</v>
      </c>
      <c r="W132" s="102" t="s">
        <v>65</v>
      </c>
      <c r="X132" s="116" t="s">
        <v>398</v>
      </c>
      <c r="Y132" s="120"/>
      <c r="Z132" s="120"/>
      <c r="AA132" s="120"/>
      <c r="AB132" s="8">
        <f t="shared" si="8"/>
        <v>746435</v>
      </c>
      <c r="AC132" s="120"/>
      <c r="AD132" s="120"/>
      <c r="AE132" s="120"/>
      <c r="AF132" s="120"/>
      <c r="AG132" s="120"/>
      <c r="AH132" s="120"/>
      <c r="AI132" s="120"/>
      <c r="AJ132" s="120"/>
      <c r="AK132" s="120"/>
      <c r="AL132" s="120"/>
      <c r="AM132" s="120"/>
    </row>
    <row r="133" spans="1:39" s="118" customFormat="1" ht="104.25" hidden="1" customHeight="1" x14ac:dyDescent="0.3">
      <c r="A133" s="124" t="s">
        <v>317</v>
      </c>
      <c r="B133" s="120" t="s">
        <v>50</v>
      </c>
      <c r="C133" s="168" t="s">
        <v>446</v>
      </c>
      <c r="D133" s="120" t="s">
        <v>50</v>
      </c>
      <c r="E133" s="120" t="s">
        <v>389</v>
      </c>
      <c r="F133" s="120">
        <v>78181500</v>
      </c>
      <c r="G133" s="116" t="s">
        <v>371</v>
      </c>
      <c r="H133" s="117">
        <v>6</v>
      </c>
      <c r="I133" s="117">
        <v>6</v>
      </c>
      <c r="J133" s="117">
        <v>6</v>
      </c>
      <c r="K133" s="98">
        <v>1</v>
      </c>
      <c r="L133" s="7" t="s">
        <v>455</v>
      </c>
      <c r="M133" s="117" t="s">
        <v>410</v>
      </c>
      <c r="N133" s="125">
        <v>8000000</v>
      </c>
      <c r="O133" s="7">
        <v>0</v>
      </c>
      <c r="P133" s="7">
        <v>0</v>
      </c>
      <c r="Q133" s="120" t="s">
        <v>123</v>
      </c>
      <c r="R133" s="120" t="s">
        <v>122</v>
      </c>
      <c r="S133" s="116" t="s">
        <v>248</v>
      </c>
      <c r="T133" s="117">
        <v>3846666</v>
      </c>
      <c r="U133" s="123" t="s">
        <v>249</v>
      </c>
      <c r="V133" s="120" t="s">
        <v>397</v>
      </c>
      <c r="W133" s="102" t="s">
        <v>65</v>
      </c>
      <c r="X133" s="116" t="s">
        <v>398</v>
      </c>
      <c r="Y133" s="120"/>
      <c r="Z133" s="120"/>
      <c r="AA133" s="120"/>
      <c r="AB133" s="8">
        <f t="shared" si="8"/>
        <v>8000000</v>
      </c>
      <c r="AC133" s="120"/>
      <c r="AD133" s="120"/>
      <c r="AE133" s="120"/>
      <c r="AF133" s="120"/>
      <c r="AG133" s="120"/>
      <c r="AH133" s="120"/>
      <c r="AI133" s="120"/>
      <c r="AJ133" s="120"/>
      <c r="AK133" s="120"/>
      <c r="AL133" s="120"/>
      <c r="AM133" s="120"/>
    </row>
    <row r="134" spans="1:39" s="118" customFormat="1" ht="104.25" hidden="1" customHeight="1" x14ac:dyDescent="0.3">
      <c r="A134" s="124" t="s">
        <v>317</v>
      </c>
      <c r="B134" s="120" t="s">
        <v>50</v>
      </c>
      <c r="C134" s="168" t="s">
        <v>446</v>
      </c>
      <c r="D134" s="120" t="s">
        <v>50</v>
      </c>
      <c r="E134" s="120" t="s">
        <v>389</v>
      </c>
      <c r="F134" s="120" t="s">
        <v>327</v>
      </c>
      <c r="G134" s="116" t="s">
        <v>372</v>
      </c>
      <c r="H134" s="117">
        <v>4</v>
      </c>
      <c r="I134" s="117">
        <v>4</v>
      </c>
      <c r="J134" s="117">
        <v>8</v>
      </c>
      <c r="K134" s="98">
        <v>1</v>
      </c>
      <c r="L134" s="7" t="s">
        <v>455</v>
      </c>
      <c r="M134" s="117" t="s">
        <v>410</v>
      </c>
      <c r="N134" s="125">
        <v>6000000</v>
      </c>
      <c r="O134" s="7">
        <v>0</v>
      </c>
      <c r="P134" s="7">
        <v>0</v>
      </c>
      <c r="Q134" s="120" t="s">
        <v>123</v>
      </c>
      <c r="R134" s="120" t="s">
        <v>122</v>
      </c>
      <c r="S134" s="116" t="s">
        <v>248</v>
      </c>
      <c r="T134" s="117">
        <v>3846666</v>
      </c>
      <c r="U134" s="123" t="s">
        <v>249</v>
      </c>
      <c r="V134" s="120" t="s">
        <v>397</v>
      </c>
      <c r="W134" s="102" t="s">
        <v>65</v>
      </c>
      <c r="X134" s="116" t="s">
        <v>398</v>
      </c>
      <c r="Y134" s="120"/>
      <c r="Z134" s="120"/>
      <c r="AA134" s="120"/>
      <c r="AB134" s="8">
        <f t="shared" si="8"/>
        <v>6000000</v>
      </c>
      <c r="AC134" s="120"/>
      <c r="AD134" s="120"/>
      <c r="AE134" s="120"/>
      <c r="AF134" s="120"/>
      <c r="AG134" s="120"/>
      <c r="AH134" s="120"/>
      <c r="AI134" s="120"/>
      <c r="AJ134" s="120"/>
      <c r="AK134" s="120"/>
      <c r="AL134" s="120"/>
      <c r="AM134" s="120"/>
    </row>
    <row r="135" spans="1:39" s="118" customFormat="1" ht="104.25" hidden="1" customHeight="1" x14ac:dyDescent="0.3">
      <c r="A135" s="124" t="s">
        <v>317</v>
      </c>
      <c r="B135" s="120" t="s">
        <v>50</v>
      </c>
      <c r="C135" s="168" t="s">
        <v>446</v>
      </c>
      <c r="D135" s="120" t="s">
        <v>50</v>
      </c>
      <c r="E135" s="120" t="s">
        <v>389</v>
      </c>
      <c r="F135" s="120" t="s">
        <v>328</v>
      </c>
      <c r="G135" s="116" t="s">
        <v>373</v>
      </c>
      <c r="H135" s="117">
        <v>10</v>
      </c>
      <c r="I135" s="117">
        <v>11</v>
      </c>
      <c r="J135" s="117">
        <v>1</v>
      </c>
      <c r="K135" s="98">
        <v>1</v>
      </c>
      <c r="L135" s="7" t="s">
        <v>455</v>
      </c>
      <c r="M135" s="117" t="s">
        <v>410</v>
      </c>
      <c r="N135" s="125">
        <v>1000000</v>
      </c>
      <c r="O135" s="7">
        <v>0</v>
      </c>
      <c r="P135" s="7">
        <v>0</v>
      </c>
      <c r="Q135" s="120" t="s">
        <v>123</v>
      </c>
      <c r="R135" s="120" t="s">
        <v>122</v>
      </c>
      <c r="S135" s="116" t="s">
        <v>248</v>
      </c>
      <c r="T135" s="117">
        <v>3846666</v>
      </c>
      <c r="U135" s="123" t="s">
        <v>249</v>
      </c>
      <c r="V135" s="120" t="s">
        <v>397</v>
      </c>
      <c r="W135" s="102" t="s">
        <v>65</v>
      </c>
      <c r="X135" s="116" t="s">
        <v>398</v>
      </c>
      <c r="Y135" s="120"/>
      <c r="Z135" s="120"/>
      <c r="AA135" s="120"/>
      <c r="AB135" s="8">
        <f t="shared" ref="AB135:AB153" si="10">+N135+Y135+Z135-AA135</f>
        <v>1000000</v>
      </c>
      <c r="AC135" s="120"/>
      <c r="AD135" s="120"/>
      <c r="AE135" s="120"/>
      <c r="AF135" s="120"/>
      <c r="AG135" s="120"/>
      <c r="AH135" s="120"/>
      <c r="AI135" s="120"/>
      <c r="AJ135" s="120"/>
      <c r="AK135" s="120"/>
      <c r="AL135" s="120"/>
      <c r="AM135" s="120"/>
    </row>
    <row r="136" spans="1:39" s="118" customFormat="1" ht="104.25" hidden="1" customHeight="1" x14ac:dyDescent="0.3">
      <c r="A136" s="124" t="s">
        <v>317</v>
      </c>
      <c r="B136" s="120" t="s">
        <v>50</v>
      </c>
      <c r="C136" s="168" t="s">
        <v>446</v>
      </c>
      <c r="D136" s="120" t="s">
        <v>50</v>
      </c>
      <c r="E136" s="120" t="s">
        <v>389</v>
      </c>
      <c r="F136" s="120">
        <v>72101511</v>
      </c>
      <c r="G136" s="116" t="s">
        <v>374</v>
      </c>
      <c r="H136" s="117">
        <v>3</v>
      </c>
      <c r="I136" s="117">
        <v>3</v>
      </c>
      <c r="J136" s="117">
        <v>9</v>
      </c>
      <c r="K136" s="98">
        <v>1</v>
      </c>
      <c r="L136" s="7" t="s">
        <v>455</v>
      </c>
      <c r="M136" s="117" t="s">
        <v>410</v>
      </c>
      <c r="N136" s="125">
        <v>5000000</v>
      </c>
      <c r="O136" s="7">
        <v>0</v>
      </c>
      <c r="P136" s="7">
        <v>0</v>
      </c>
      <c r="Q136" s="120" t="s">
        <v>123</v>
      </c>
      <c r="R136" s="120" t="s">
        <v>122</v>
      </c>
      <c r="S136" s="116" t="s">
        <v>248</v>
      </c>
      <c r="T136" s="117">
        <v>3846666</v>
      </c>
      <c r="U136" s="123" t="s">
        <v>249</v>
      </c>
      <c r="V136" s="120" t="s">
        <v>397</v>
      </c>
      <c r="W136" s="102" t="s">
        <v>65</v>
      </c>
      <c r="X136" s="116" t="s">
        <v>398</v>
      </c>
      <c r="Y136" s="120"/>
      <c r="Z136" s="120"/>
      <c r="AA136" s="120"/>
      <c r="AB136" s="8">
        <f t="shared" si="10"/>
        <v>5000000</v>
      </c>
      <c r="AC136" s="120"/>
      <c r="AD136" s="120"/>
      <c r="AE136" s="120"/>
      <c r="AF136" s="120"/>
      <c r="AG136" s="120"/>
      <c r="AH136" s="120"/>
      <c r="AI136" s="120"/>
      <c r="AJ136" s="120"/>
      <c r="AK136" s="120"/>
      <c r="AL136" s="120"/>
      <c r="AM136" s="120"/>
    </row>
    <row r="137" spans="1:39" s="118" customFormat="1" ht="104.25" hidden="1" customHeight="1" x14ac:dyDescent="0.3">
      <c r="A137" s="124" t="s">
        <v>317</v>
      </c>
      <c r="B137" s="120" t="s">
        <v>50</v>
      </c>
      <c r="C137" s="168" t="s">
        <v>446</v>
      </c>
      <c r="D137" s="120" t="s">
        <v>50</v>
      </c>
      <c r="E137" s="120" t="s">
        <v>389</v>
      </c>
      <c r="F137" s="120">
        <v>72101509</v>
      </c>
      <c r="G137" s="116" t="s">
        <v>375</v>
      </c>
      <c r="H137" s="117">
        <v>10</v>
      </c>
      <c r="I137" s="117">
        <v>11</v>
      </c>
      <c r="J137" s="117">
        <v>1</v>
      </c>
      <c r="K137" s="98">
        <v>1</v>
      </c>
      <c r="L137" s="7" t="s">
        <v>455</v>
      </c>
      <c r="M137" s="117" t="s">
        <v>410</v>
      </c>
      <c r="N137" s="125">
        <v>7000000</v>
      </c>
      <c r="O137" s="7">
        <v>0</v>
      </c>
      <c r="P137" s="7">
        <v>0</v>
      </c>
      <c r="Q137" s="120" t="s">
        <v>123</v>
      </c>
      <c r="R137" s="120" t="s">
        <v>122</v>
      </c>
      <c r="S137" s="116" t="s">
        <v>248</v>
      </c>
      <c r="T137" s="117">
        <v>3846666</v>
      </c>
      <c r="U137" s="123" t="s">
        <v>249</v>
      </c>
      <c r="V137" s="120" t="s">
        <v>397</v>
      </c>
      <c r="W137" s="102" t="s">
        <v>65</v>
      </c>
      <c r="X137" s="116" t="s">
        <v>398</v>
      </c>
      <c r="Y137" s="120"/>
      <c r="Z137" s="120"/>
      <c r="AA137" s="120"/>
      <c r="AB137" s="8">
        <f t="shared" si="10"/>
        <v>7000000</v>
      </c>
      <c r="AC137" s="120"/>
      <c r="AD137" s="120"/>
      <c r="AE137" s="120"/>
      <c r="AF137" s="120"/>
      <c r="AG137" s="120"/>
      <c r="AH137" s="120"/>
      <c r="AI137" s="120"/>
      <c r="AJ137" s="120"/>
      <c r="AK137" s="120"/>
      <c r="AL137" s="120"/>
      <c r="AM137" s="120"/>
    </row>
    <row r="138" spans="1:39" s="118" customFormat="1" ht="104.25" hidden="1" customHeight="1" x14ac:dyDescent="0.3">
      <c r="A138" s="124" t="s">
        <v>317</v>
      </c>
      <c r="B138" s="120" t="s">
        <v>50</v>
      </c>
      <c r="C138" s="168" t="s">
        <v>446</v>
      </c>
      <c r="D138" s="120" t="s">
        <v>50</v>
      </c>
      <c r="E138" s="120" t="s">
        <v>389</v>
      </c>
      <c r="F138" s="120" t="s">
        <v>50</v>
      </c>
      <c r="G138" s="116" t="s">
        <v>376</v>
      </c>
      <c r="H138" s="117" t="s">
        <v>50</v>
      </c>
      <c r="I138" s="117" t="s">
        <v>50</v>
      </c>
      <c r="J138" s="117" t="s">
        <v>50</v>
      </c>
      <c r="K138" s="117" t="s">
        <v>50</v>
      </c>
      <c r="L138" s="120" t="s">
        <v>52</v>
      </c>
      <c r="M138" s="117" t="s">
        <v>394</v>
      </c>
      <c r="N138" s="125">
        <f>350000*11</f>
        <v>3850000</v>
      </c>
      <c r="O138" s="7">
        <v>0</v>
      </c>
      <c r="P138" s="7">
        <v>0</v>
      </c>
      <c r="Q138" s="120" t="s">
        <v>123</v>
      </c>
      <c r="R138" s="120" t="s">
        <v>122</v>
      </c>
      <c r="S138" s="116" t="s">
        <v>248</v>
      </c>
      <c r="T138" s="117">
        <v>3846666</v>
      </c>
      <c r="U138" s="123" t="s">
        <v>249</v>
      </c>
      <c r="V138" s="120" t="s">
        <v>397</v>
      </c>
      <c r="W138" s="102" t="s">
        <v>399</v>
      </c>
      <c r="X138" s="116" t="s">
        <v>398</v>
      </c>
      <c r="Y138" s="120"/>
      <c r="Z138" s="120"/>
      <c r="AA138" s="120"/>
      <c r="AB138" s="8">
        <f t="shared" si="10"/>
        <v>3850000</v>
      </c>
      <c r="AC138" s="120"/>
      <c r="AD138" s="120"/>
      <c r="AE138" s="120"/>
      <c r="AF138" s="120"/>
      <c r="AG138" s="120"/>
      <c r="AH138" s="120"/>
      <c r="AI138" s="120"/>
      <c r="AJ138" s="120"/>
      <c r="AK138" s="120"/>
      <c r="AL138" s="120"/>
      <c r="AM138" s="120"/>
    </row>
    <row r="139" spans="1:39" s="118" customFormat="1" ht="104.25" hidden="1" customHeight="1" x14ac:dyDescent="0.3">
      <c r="A139" s="124" t="s">
        <v>317</v>
      </c>
      <c r="B139" s="120" t="s">
        <v>50</v>
      </c>
      <c r="C139" s="168" t="s">
        <v>446</v>
      </c>
      <c r="D139" s="120" t="s">
        <v>50</v>
      </c>
      <c r="E139" s="120" t="s">
        <v>389</v>
      </c>
      <c r="F139" s="120" t="s">
        <v>329</v>
      </c>
      <c r="G139" s="116" t="s">
        <v>377</v>
      </c>
      <c r="H139" s="117">
        <v>2</v>
      </c>
      <c r="I139" s="117">
        <v>2</v>
      </c>
      <c r="J139" s="117">
        <v>10</v>
      </c>
      <c r="K139" s="98">
        <v>1</v>
      </c>
      <c r="L139" s="7" t="s">
        <v>455</v>
      </c>
      <c r="M139" s="117" t="s">
        <v>410</v>
      </c>
      <c r="N139" s="125">
        <v>3000000</v>
      </c>
      <c r="O139" s="7">
        <v>0</v>
      </c>
      <c r="P139" s="7">
        <v>0</v>
      </c>
      <c r="Q139" s="120" t="s">
        <v>123</v>
      </c>
      <c r="R139" s="120" t="s">
        <v>122</v>
      </c>
      <c r="S139" s="116" t="s">
        <v>248</v>
      </c>
      <c r="T139" s="117">
        <v>3846666</v>
      </c>
      <c r="U139" s="123" t="s">
        <v>249</v>
      </c>
      <c r="V139" s="120" t="s">
        <v>397</v>
      </c>
      <c r="W139" s="102" t="s">
        <v>65</v>
      </c>
      <c r="X139" s="116" t="s">
        <v>398</v>
      </c>
      <c r="Y139" s="120"/>
      <c r="Z139" s="120"/>
      <c r="AA139" s="120"/>
      <c r="AB139" s="8">
        <f t="shared" si="10"/>
        <v>3000000</v>
      </c>
      <c r="AC139" s="120"/>
      <c r="AD139" s="120"/>
      <c r="AE139" s="120"/>
      <c r="AF139" s="120"/>
      <c r="AG139" s="120"/>
      <c r="AH139" s="120"/>
      <c r="AI139" s="120"/>
      <c r="AJ139" s="120"/>
      <c r="AK139" s="120"/>
      <c r="AL139" s="120"/>
      <c r="AM139" s="120"/>
    </row>
    <row r="140" spans="1:39" s="118" customFormat="1" ht="104.25" hidden="1" customHeight="1" x14ac:dyDescent="0.3">
      <c r="A140" s="134" t="s">
        <v>318</v>
      </c>
      <c r="B140" s="120" t="s">
        <v>50</v>
      </c>
      <c r="C140" s="168" t="s">
        <v>446</v>
      </c>
      <c r="D140" s="120" t="s">
        <v>50</v>
      </c>
      <c r="E140" s="120" t="s">
        <v>268</v>
      </c>
      <c r="F140" s="116" t="s">
        <v>434</v>
      </c>
      <c r="G140" s="116" t="s">
        <v>378</v>
      </c>
      <c r="H140" s="117">
        <v>6</v>
      </c>
      <c r="I140" s="117">
        <v>6</v>
      </c>
      <c r="J140" s="117">
        <v>1</v>
      </c>
      <c r="K140" s="98">
        <v>1</v>
      </c>
      <c r="L140" s="7" t="s">
        <v>455</v>
      </c>
      <c r="M140" s="117" t="s">
        <v>410</v>
      </c>
      <c r="N140" s="147">
        <f>14500000-4500000</f>
        <v>10000000</v>
      </c>
      <c r="O140" s="7">
        <v>0</v>
      </c>
      <c r="P140" s="7">
        <v>0</v>
      </c>
      <c r="Q140" s="120" t="s">
        <v>123</v>
      </c>
      <c r="R140" s="120" t="s">
        <v>122</v>
      </c>
      <c r="S140" s="116" t="s">
        <v>260</v>
      </c>
      <c r="T140" s="116">
        <v>3846666</v>
      </c>
      <c r="U140" s="123" t="s">
        <v>261</v>
      </c>
      <c r="V140" s="120" t="s">
        <v>397</v>
      </c>
      <c r="W140" s="117" t="s">
        <v>65</v>
      </c>
      <c r="X140" s="116" t="s">
        <v>401</v>
      </c>
      <c r="Y140" s="120"/>
      <c r="Z140" s="120"/>
      <c r="AA140" s="120"/>
      <c r="AB140" s="8">
        <f t="shared" si="10"/>
        <v>10000000</v>
      </c>
      <c r="AC140" s="120"/>
      <c r="AD140" s="120"/>
      <c r="AE140" s="120"/>
      <c r="AF140" s="120"/>
      <c r="AG140" s="120"/>
      <c r="AH140" s="120"/>
      <c r="AI140" s="120"/>
      <c r="AJ140" s="120"/>
      <c r="AK140" s="120"/>
      <c r="AL140" s="120"/>
      <c r="AM140" s="120"/>
    </row>
    <row r="141" spans="1:39" s="118" customFormat="1" ht="104.25" hidden="1" customHeight="1" x14ac:dyDescent="0.3">
      <c r="A141" s="134" t="s">
        <v>318</v>
      </c>
      <c r="B141" s="120" t="s">
        <v>50</v>
      </c>
      <c r="C141" s="168" t="s">
        <v>446</v>
      </c>
      <c r="D141" s="120" t="s">
        <v>50</v>
      </c>
      <c r="E141" s="120" t="s">
        <v>268</v>
      </c>
      <c r="F141" s="116">
        <v>72101507</v>
      </c>
      <c r="G141" s="116" t="s">
        <v>379</v>
      </c>
      <c r="H141" s="117">
        <v>6</v>
      </c>
      <c r="I141" s="117">
        <v>6</v>
      </c>
      <c r="J141" s="117">
        <v>1</v>
      </c>
      <c r="K141" s="98">
        <v>1</v>
      </c>
      <c r="L141" s="7" t="s">
        <v>455</v>
      </c>
      <c r="M141" s="117" t="s">
        <v>410</v>
      </c>
      <c r="N141" s="147">
        <f>7500000-2500000</f>
        <v>5000000</v>
      </c>
      <c r="O141" s="7">
        <v>0</v>
      </c>
      <c r="P141" s="7">
        <v>0</v>
      </c>
      <c r="Q141" s="120" t="s">
        <v>123</v>
      </c>
      <c r="R141" s="120" t="s">
        <v>122</v>
      </c>
      <c r="S141" s="116" t="s">
        <v>260</v>
      </c>
      <c r="T141" s="116">
        <v>3846666</v>
      </c>
      <c r="U141" s="123" t="s">
        <v>261</v>
      </c>
      <c r="V141" s="120" t="s">
        <v>397</v>
      </c>
      <c r="W141" s="117" t="s">
        <v>65</v>
      </c>
      <c r="X141" s="116" t="s">
        <v>401</v>
      </c>
      <c r="Y141" s="120"/>
      <c r="Z141" s="120"/>
      <c r="AA141" s="120"/>
      <c r="AB141" s="8">
        <f t="shared" si="10"/>
        <v>5000000</v>
      </c>
      <c r="AC141" s="120"/>
      <c r="AD141" s="120"/>
      <c r="AE141" s="120"/>
      <c r="AF141" s="120"/>
      <c r="AG141" s="120"/>
      <c r="AH141" s="120"/>
      <c r="AI141" s="120"/>
      <c r="AJ141" s="120"/>
      <c r="AK141" s="120"/>
      <c r="AL141" s="120"/>
      <c r="AM141" s="120"/>
    </row>
    <row r="142" spans="1:39" s="118" customFormat="1" ht="104.25" hidden="1" customHeight="1" x14ac:dyDescent="0.3">
      <c r="A142" s="134" t="s">
        <v>318</v>
      </c>
      <c r="B142" s="120" t="s">
        <v>50</v>
      </c>
      <c r="C142" s="168" t="s">
        <v>446</v>
      </c>
      <c r="D142" s="120" t="s">
        <v>50</v>
      </c>
      <c r="E142" s="120" t="s">
        <v>268</v>
      </c>
      <c r="F142" s="116">
        <v>44103100</v>
      </c>
      <c r="G142" s="116" t="s">
        <v>380</v>
      </c>
      <c r="H142" s="117">
        <v>6</v>
      </c>
      <c r="I142" s="117">
        <v>6</v>
      </c>
      <c r="J142" s="117">
        <v>1</v>
      </c>
      <c r="K142" s="98">
        <v>1</v>
      </c>
      <c r="L142" s="7" t="s">
        <v>455</v>
      </c>
      <c r="M142" s="117" t="s">
        <v>410</v>
      </c>
      <c r="N142" s="147">
        <f>7500000-2500000</f>
        <v>5000000</v>
      </c>
      <c r="O142" s="7">
        <v>0</v>
      </c>
      <c r="P142" s="7">
        <v>0</v>
      </c>
      <c r="Q142" s="120" t="s">
        <v>123</v>
      </c>
      <c r="R142" s="120" t="s">
        <v>122</v>
      </c>
      <c r="S142" s="116" t="s">
        <v>260</v>
      </c>
      <c r="T142" s="116">
        <v>3846666</v>
      </c>
      <c r="U142" s="123" t="s">
        <v>261</v>
      </c>
      <c r="V142" s="120" t="s">
        <v>397</v>
      </c>
      <c r="W142" s="117" t="s">
        <v>65</v>
      </c>
      <c r="X142" s="116" t="s">
        <v>401</v>
      </c>
      <c r="Y142" s="120"/>
      <c r="Z142" s="120"/>
      <c r="AA142" s="120"/>
      <c r="AB142" s="8">
        <f t="shared" si="10"/>
        <v>5000000</v>
      </c>
      <c r="AC142" s="120"/>
      <c r="AD142" s="120"/>
      <c r="AE142" s="120"/>
      <c r="AF142" s="120"/>
      <c r="AG142" s="120"/>
      <c r="AH142" s="120"/>
      <c r="AI142" s="120"/>
      <c r="AJ142" s="120"/>
      <c r="AK142" s="120"/>
      <c r="AL142" s="120"/>
      <c r="AM142" s="120"/>
    </row>
    <row r="143" spans="1:39" s="118" customFormat="1" ht="104.25" hidden="1" customHeight="1" x14ac:dyDescent="0.3">
      <c r="A143" s="124" t="s">
        <v>319</v>
      </c>
      <c r="B143" s="120" t="s">
        <v>50</v>
      </c>
      <c r="C143" s="171" t="s">
        <v>447</v>
      </c>
      <c r="D143" s="120" t="s">
        <v>50</v>
      </c>
      <c r="E143" s="120" t="s">
        <v>389</v>
      </c>
      <c r="F143" s="120" t="s">
        <v>50</v>
      </c>
      <c r="G143" s="116" t="s">
        <v>381</v>
      </c>
      <c r="H143" s="117" t="s">
        <v>50</v>
      </c>
      <c r="I143" s="117" t="s">
        <v>50</v>
      </c>
      <c r="J143" s="117" t="s">
        <v>50</v>
      </c>
      <c r="K143" s="117" t="s">
        <v>50</v>
      </c>
      <c r="L143" s="120" t="s">
        <v>52</v>
      </c>
      <c r="M143" s="117" t="s">
        <v>410</v>
      </c>
      <c r="N143" s="125">
        <v>5200000</v>
      </c>
      <c r="O143" s="7">
        <v>0</v>
      </c>
      <c r="P143" s="7">
        <v>0</v>
      </c>
      <c r="Q143" s="120" t="s">
        <v>123</v>
      </c>
      <c r="R143" s="120" t="s">
        <v>122</v>
      </c>
      <c r="S143" s="116" t="s">
        <v>248</v>
      </c>
      <c r="T143" s="117">
        <v>3846666</v>
      </c>
      <c r="U143" s="123" t="s">
        <v>249</v>
      </c>
      <c r="V143" s="120" t="s">
        <v>397</v>
      </c>
      <c r="W143" s="102" t="s">
        <v>65</v>
      </c>
      <c r="X143" s="116" t="s">
        <v>398</v>
      </c>
      <c r="Y143" s="120"/>
      <c r="Z143" s="120"/>
      <c r="AA143" s="120"/>
      <c r="AB143" s="8">
        <f t="shared" si="10"/>
        <v>5200000</v>
      </c>
      <c r="AC143" s="120"/>
      <c r="AD143" s="120"/>
      <c r="AE143" s="120"/>
      <c r="AF143" s="120"/>
      <c r="AG143" s="120"/>
      <c r="AH143" s="120"/>
      <c r="AI143" s="120"/>
      <c r="AJ143" s="120"/>
      <c r="AK143" s="120"/>
      <c r="AL143" s="120"/>
      <c r="AM143" s="120"/>
    </row>
    <row r="144" spans="1:39" s="118" customFormat="1" ht="104.25" hidden="1" customHeight="1" x14ac:dyDescent="0.3">
      <c r="A144" s="124" t="s">
        <v>319</v>
      </c>
      <c r="B144" s="120" t="s">
        <v>50</v>
      </c>
      <c r="C144" s="171" t="s">
        <v>447</v>
      </c>
      <c r="D144" s="120" t="s">
        <v>50</v>
      </c>
      <c r="E144" s="120" t="s">
        <v>389</v>
      </c>
      <c r="F144" s="120">
        <v>72102103</v>
      </c>
      <c r="G144" s="116" t="s">
        <v>382</v>
      </c>
      <c r="H144" s="117">
        <v>2</v>
      </c>
      <c r="I144" s="117">
        <v>3</v>
      </c>
      <c r="J144" s="117">
        <v>9</v>
      </c>
      <c r="K144" s="98">
        <v>1</v>
      </c>
      <c r="L144" s="7" t="s">
        <v>455</v>
      </c>
      <c r="M144" s="117" t="s">
        <v>410</v>
      </c>
      <c r="N144" s="125">
        <v>1500000</v>
      </c>
      <c r="O144" s="7">
        <v>0</v>
      </c>
      <c r="P144" s="7">
        <v>0</v>
      </c>
      <c r="Q144" s="120" t="s">
        <v>123</v>
      </c>
      <c r="R144" s="120" t="s">
        <v>122</v>
      </c>
      <c r="S144" s="116" t="s">
        <v>248</v>
      </c>
      <c r="T144" s="117">
        <v>3846666</v>
      </c>
      <c r="U144" s="123" t="s">
        <v>249</v>
      </c>
      <c r="V144" s="120" t="s">
        <v>397</v>
      </c>
      <c r="W144" s="102" t="s">
        <v>65</v>
      </c>
      <c r="X144" s="116" t="s">
        <v>398</v>
      </c>
      <c r="Y144" s="120"/>
      <c r="Z144" s="120"/>
      <c r="AA144" s="120"/>
      <c r="AB144" s="8">
        <f t="shared" si="10"/>
        <v>1500000</v>
      </c>
      <c r="AC144" s="120"/>
      <c r="AD144" s="120"/>
      <c r="AE144" s="120"/>
      <c r="AF144" s="120"/>
      <c r="AG144" s="120"/>
      <c r="AH144" s="120"/>
      <c r="AI144" s="120"/>
      <c r="AJ144" s="120"/>
      <c r="AK144" s="120"/>
      <c r="AL144" s="120"/>
      <c r="AM144" s="120"/>
    </row>
    <row r="145" spans="1:39" s="118" customFormat="1" ht="104.25" hidden="1" customHeight="1" x14ac:dyDescent="0.3">
      <c r="A145" s="124" t="s">
        <v>319</v>
      </c>
      <c r="B145" s="120" t="s">
        <v>50</v>
      </c>
      <c r="C145" s="171" t="s">
        <v>447</v>
      </c>
      <c r="D145" s="120" t="s">
        <v>50</v>
      </c>
      <c r="E145" s="120" t="s">
        <v>389</v>
      </c>
      <c r="F145" s="120">
        <v>72102103</v>
      </c>
      <c r="G145" s="116" t="s">
        <v>467</v>
      </c>
      <c r="H145" s="117">
        <v>2</v>
      </c>
      <c r="I145" s="117">
        <v>3</v>
      </c>
      <c r="J145" s="117">
        <v>9</v>
      </c>
      <c r="K145" s="98">
        <v>1</v>
      </c>
      <c r="L145" s="7" t="s">
        <v>455</v>
      </c>
      <c r="M145" s="117" t="s">
        <v>394</v>
      </c>
      <c r="N145" s="125">
        <v>523599</v>
      </c>
      <c r="O145" s="7">
        <v>1</v>
      </c>
      <c r="P145" s="7">
        <v>3</v>
      </c>
      <c r="Q145" s="120" t="s">
        <v>123</v>
      </c>
      <c r="R145" s="120" t="s">
        <v>122</v>
      </c>
      <c r="S145" s="116" t="s">
        <v>248</v>
      </c>
      <c r="T145" s="117">
        <v>3846666</v>
      </c>
      <c r="U145" s="123" t="s">
        <v>249</v>
      </c>
      <c r="V145" s="120" t="s">
        <v>397</v>
      </c>
      <c r="W145" s="102" t="s">
        <v>65</v>
      </c>
      <c r="X145" s="116" t="s">
        <v>398</v>
      </c>
      <c r="Y145" s="120"/>
      <c r="Z145" s="120"/>
      <c r="AA145" s="120"/>
      <c r="AB145" s="8">
        <f t="shared" ref="AB145" si="11">+N145+Y145+Z145-AA145</f>
        <v>523599</v>
      </c>
      <c r="AC145" s="120"/>
      <c r="AD145" s="120"/>
      <c r="AE145" s="120"/>
      <c r="AF145" s="120"/>
      <c r="AG145" s="120"/>
      <c r="AH145" s="120"/>
      <c r="AI145" s="120"/>
      <c r="AJ145" s="120"/>
      <c r="AK145" s="120"/>
      <c r="AL145" s="120"/>
      <c r="AM145" s="120"/>
    </row>
    <row r="146" spans="1:39" s="118" customFormat="1" ht="104.25" hidden="1" customHeight="1" x14ac:dyDescent="0.3">
      <c r="A146" s="124" t="s">
        <v>320</v>
      </c>
      <c r="B146" s="120" t="s">
        <v>50</v>
      </c>
      <c r="C146" s="171" t="s">
        <v>447</v>
      </c>
      <c r="D146" s="120" t="s">
        <v>50</v>
      </c>
      <c r="E146" s="120" t="s">
        <v>390</v>
      </c>
      <c r="F146" s="120">
        <v>93141506</v>
      </c>
      <c r="G146" s="116" t="s">
        <v>383</v>
      </c>
      <c r="H146" s="115">
        <v>4</v>
      </c>
      <c r="I146" s="115">
        <v>4</v>
      </c>
      <c r="J146" s="115">
        <v>8</v>
      </c>
      <c r="K146" s="98">
        <v>1</v>
      </c>
      <c r="L146" s="7" t="s">
        <v>455</v>
      </c>
      <c r="M146" s="115" t="s">
        <v>410</v>
      </c>
      <c r="N146" s="147">
        <f>20000000-1100000-8900000</f>
        <v>10000000</v>
      </c>
      <c r="O146" s="7">
        <v>0</v>
      </c>
      <c r="P146" s="7">
        <v>0</v>
      </c>
      <c r="Q146" s="120" t="s">
        <v>123</v>
      </c>
      <c r="R146" s="120" t="s">
        <v>122</v>
      </c>
      <c r="S146" s="89" t="s">
        <v>248</v>
      </c>
      <c r="T146" s="116">
        <v>3846666</v>
      </c>
      <c r="U146" s="123" t="s">
        <v>249</v>
      </c>
      <c r="V146" s="120" t="s">
        <v>397</v>
      </c>
      <c r="W146" s="102" t="s">
        <v>65</v>
      </c>
      <c r="X146" s="126" t="s">
        <v>247</v>
      </c>
      <c r="Y146" s="120"/>
      <c r="Z146" s="120"/>
      <c r="AA146" s="120"/>
      <c r="AB146" s="8">
        <f t="shared" si="10"/>
        <v>10000000</v>
      </c>
      <c r="AC146" s="120"/>
      <c r="AD146" s="120"/>
      <c r="AE146" s="120"/>
      <c r="AF146" s="120"/>
      <c r="AG146" s="120"/>
      <c r="AH146" s="120"/>
      <c r="AI146" s="120"/>
      <c r="AJ146" s="120"/>
      <c r="AK146" s="120"/>
      <c r="AL146" s="120"/>
      <c r="AM146" s="120"/>
    </row>
    <row r="147" spans="1:39" s="118" customFormat="1" ht="104.25" hidden="1" customHeight="1" x14ac:dyDescent="0.3">
      <c r="A147" s="124" t="s">
        <v>321</v>
      </c>
      <c r="B147" s="120" t="s">
        <v>50</v>
      </c>
      <c r="C147" s="171" t="s">
        <v>447</v>
      </c>
      <c r="D147" s="120" t="s">
        <v>50</v>
      </c>
      <c r="E147" s="120" t="s">
        <v>389</v>
      </c>
      <c r="F147" s="120">
        <v>72153501</v>
      </c>
      <c r="G147" s="116" t="s">
        <v>384</v>
      </c>
      <c r="H147" s="117">
        <v>2</v>
      </c>
      <c r="I147" s="117">
        <v>3</v>
      </c>
      <c r="J147" s="117">
        <v>9</v>
      </c>
      <c r="K147" s="98">
        <v>1</v>
      </c>
      <c r="L147" s="7" t="s">
        <v>455</v>
      </c>
      <c r="M147" s="117" t="s">
        <v>410</v>
      </c>
      <c r="N147" s="125">
        <v>7500000</v>
      </c>
      <c r="O147" s="7">
        <v>0</v>
      </c>
      <c r="P147" s="7">
        <v>0</v>
      </c>
      <c r="Q147" s="120" t="s">
        <v>123</v>
      </c>
      <c r="R147" s="120" t="s">
        <v>122</v>
      </c>
      <c r="S147" s="116" t="s">
        <v>248</v>
      </c>
      <c r="T147" s="117">
        <v>3846666</v>
      </c>
      <c r="U147" s="123" t="s">
        <v>249</v>
      </c>
      <c r="V147" s="120" t="s">
        <v>397</v>
      </c>
      <c r="W147" s="102" t="s">
        <v>65</v>
      </c>
      <c r="X147" s="116" t="s">
        <v>398</v>
      </c>
      <c r="Y147" s="120"/>
      <c r="Z147" s="120"/>
      <c r="AA147" s="120"/>
      <c r="AB147" s="8">
        <f t="shared" si="10"/>
        <v>7500000</v>
      </c>
      <c r="AC147" s="120"/>
      <c r="AD147" s="120"/>
      <c r="AE147" s="120"/>
      <c r="AF147" s="120"/>
      <c r="AG147" s="120"/>
      <c r="AH147" s="120"/>
      <c r="AI147" s="120"/>
      <c r="AJ147" s="120"/>
      <c r="AK147" s="120"/>
      <c r="AL147" s="120"/>
      <c r="AM147" s="120"/>
    </row>
    <row r="148" spans="1:39" s="118" customFormat="1" ht="104.25" hidden="1" customHeight="1" x14ac:dyDescent="0.3">
      <c r="A148" s="124" t="s">
        <v>406</v>
      </c>
      <c r="B148" s="120" t="s">
        <v>50</v>
      </c>
      <c r="C148" s="135" t="s">
        <v>448</v>
      </c>
      <c r="D148" s="120" t="s">
        <v>50</v>
      </c>
      <c r="E148" s="120" t="s">
        <v>390</v>
      </c>
      <c r="F148" s="120">
        <v>76122406</v>
      </c>
      <c r="G148" s="116" t="s">
        <v>385</v>
      </c>
      <c r="H148" s="117">
        <v>4</v>
      </c>
      <c r="I148" s="117">
        <v>4</v>
      </c>
      <c r="J148" s="117">
        <v>1</v>
      </c>
      <c r="K148" s="98">
        <v>1</v>
      </c>
      <c r="L148" s="7" t="s">
        <v>455</v>
      </c>
      <c r="M148" s="120" t="s">
        <v>410</v>
      </c>
      <c r="N148" s="125">
        <f>4500000+296313+278-497351</f>
        <v>4299240</v>
      </c>
      <c r="O148" s="7">
        <v>0</v>
      </c>
      <c r="P148" s="7">
        <v>0</v>
      </c>
      <c r="Q148" s="120" t="s">
        <v>123</v>
      </c>
      <c r="R148" s="120" t="s">
        <v>122</v>
      </c>
      <c r="S148" s="116" t="s">
        <v>248</v>
      </c>
      <c r="T148" s="117">
        <v>3846666</v>
      </c>
      <c r="U148" s="123" t="s">
        <v>249</v>
      </c>
      <c r="V148" s="120" t="s">
        <v>397</v>
      </c>
      <c r="W148" s="102" t="s">
        <v>92</v>
      </c>
      <c r="X148" s="126" t="s">
        <v>247</v>
      </c>
      <c r="Y148" s="120"/>
      <c r="Z148" s="120"/>
      <c r="AA148" s="120"/>
      <c r="AB148" s="8">
        <f t="shared" si="10"/>
        <v>4299240</v>
      </c>
      <c r="AC148" s="120"/>
      <c r="AD148" s="120"/>
      <c r="AE148" s="120"/>
      <c r="AF148" s="120"/>
      <c r="AG148" s="120"/>
      <c r="AH148" s="120"/>
      <c r="AI148" s="120"/>
      <c r="AJ148" s="120"/>
      <c r="AK148" s="120"/>
      <c r="AL148" s="120"/>
      <c r="AM148" s="120"/>
    </row>
    <row r="149" spans="1:39" ht="81.75" hidden="1" customHeight="1" x14ac:dyDescent="0.3">
      <c r="A149" s="183" t="s">
        <v>421</v>
      </c>
      <c r="B149" s="120" t="s">
        <v>50</v>
      </c>
      <c r="C149" s="88" t="s">
        <v>449</v>
      </c>
      <c r="D149" s="120" t="s">
        <v>50</v>
      </c>
      <c r="E149" s="120" t="s">
        <v>392</v>
      </c>
      <c r="F149" s="120" t="s">
        <v>50</v>
      </c>
      <c r="G149" s="7" t="s">
        <v>420</v>
      </c>
      <c r="H149" s="117" t="s">
        <v>50</v>
      </c>
      <c r="I149" s="117" t="s">
        <v>50</v>
      </c>
      <c r="J149" s="117" t="s">
        <v>50</v>
      </c>
      <c r="K149" s="117" t="s">
        <v>50</v>
      </c>
      <c r="L149" s="120" t="s">
        <v>52</v>
      </c>
      <c r="M149" s="120" t="s">
        <v>394</v>
      </c>
      <c r="N149" s="6">
        <v>48794275</v>
      </c>
      <c r="O149" s="7">
        <v>0</v>
      </c>
      <c r="P149" s="7">
        <v>0</v>
      </c>
      <c r="Q149" s="120" t="s">
        <v>123</v>
      </c>
      <c r="R149" s="120" t="s">
        <v>122</v>
      </c>
      <c r="S149" s="116" t="s">
        <v>248</v>
      </c>
      <c r="T149" s="117">
        <v>3846667</v>
      </c>
      <c r="U149" s="123" t="s">
        <v>249</v>
      </c>
      <c r="V149" s="120" t="s">
        <v>397</v>
      </c>
      <c r="W149" s="7" t="s">
        <v>50</v>
      </c>
      <c r="X149" s="137" t="s">
        <v>50</v>
      </c>
      <c r="Y149" s="7"/>
      <c r="Z149" s="7"/>
      <c r="AA149" s="7"/>
      <c r="AB149" s="8">
        <f>+N149+Y149+Z149-AA149</f>
        <v>48794275</v>
      </c>
      <c r="AC149" s="120"/>
      <c r="AD149" s="120"/>
      <c r="AE149" s="120"/>
      <c r="AF149" s="120"/>
      <c r="AG149" s="120"/>
      <c r="AH149" s="120"/>
      <c r="AI149" s="120"/>
      <c r="AJ149" s="120"/>
      <c r="AK149" s="120"/>
      <c r="AL149" s="120"/>
      <c r="AM149" s="120"/>
    </row>
    <row r="150" spans="1:39" s="118" customFormat="1" ht="104.25" hidden="1" customHeight="1" x14ac:dyDescent="0.3">
      <c r="A150" s="136" t="s">
        <v>322</v>
      </c>
      <c r="B150" s="120" t="s">
        <v>50</v>
      </c>
      <c r="C150" s="177" t="s">
        <v>450</v>
      </c>
      <c r="D150" s="120" t="s">
        <v>50</v>
      </c>
      <c r="E150" s="120" t="s">
        <v>265</v>
      </c>
      <c r="F150" s="120" t="s">
        <v>50</v>
      </c>
      <c r="G150" s="120" t="s">
        <v>457</v>
      </c>
      <c r="H150" s="117" t="s">
        <v>50</v>
      </c>
      <c r="I150" s="117" t="s">
        <v>50</v>
      </c>
      <c r="J150" s="117" t="s">
        <v>50</v>
      </c>
      <c r="K150" s="117" t="s">
        <v>50</v>
      </c>
      <c r="L150" s="120" t="s">
        <v>52</v>
      </c>
      <c r="M150" s="120" t="s">
        <v>394</v>
      </c>
      <c r="N150" s="125">
        <v>496287877</v>
      </c>
      <c r="O150" s="7">
        <v>0</v>
      </c>
      <c r="P150" s="7">
        <v>0</v>
      </c>
      <c r="Q150" s="120" t="s">
        <v>123</v>
      </c>
      <c r="R150" s="120" t="s">
        <v>122</v>
      </c>
      <c r="S150" s="116" t="s">
        <v>263</v>
      </c>
      <c r="T150" s="117">
        <v>3846666</v>
      </c>
      <c r="U150" s="138" t="s">
        <v>266</v>
      </c>
      <c r="V150" s="120" t="s">
        <v>397</v>
      </c>
      <c r="W150" s="102" t="s">
        <v>50</v>
      </c>
      <c r="X150" s="137" t="s">
        <v>50</v>
      </c>
      <c r="Y150" s="120"/>
      <c r="Z150" s="120"/>
      <c r="AA150" s="120"/>
      <c r="AB150" s="8">
        <f t="shared" si="10"/>
        <v>496287877</v>
      </c>
      <c r="AC150" s="120"/>
      <c r="AD150" s="120"/>
      <c r="AE150" s="120"/>
      <c r="AF150" s="120"/>
      <c r="AG150" s="120"/>
      <c r="AH150" s="120"/>
      <c r="AI150" s="120"/>
      <c r="AJ150" s="120"/>
      <c r="AK150" s="120"/>
      <c r="AL150" s="120"/>
      <c r="AM150" s="120"/>
    </row>
    <row r="151" spans="1:39" s="118" customFormat="1" ht="104.25" hidden="1" customHeight="1" x14ac:dyDescent="0.3">
      <c r="A151" s="124" t="s">
        <v>458</v>
      </c>
      <c r="B151" s="120" t="s">
        <v>50</v>
      </c>
      <c r="C151" s="176" t="s">
        <v>451</v>
      </c>
      <c r="D151" s="120" t="s">
        <v>50</v>
      </c>
      <c r="E151" s="120" t="s">
        <v>389</v>
      </c>
      <c r="F151" s="120" t="s">
        <v>50</v>
      </c>
      <c r="G151" s="116" t="s">
        <v>386</v>
      </c>
      <c r="H151" s="117" t="s">
        <v>50</v>
      </c>
      <c r="I151" s="117" t="s">
        <v>50</v>
      </c>
      <c r="J151" s="117" t="s">
        <v>50</v>
      </c>
      <c r="K151" s="117" t="s">
        <v>50</v>
      </c>
      <c r="L151" s="120" t="s">
        <v>52</v>
      </c>
      <c r="M151" s="120" t="s">
        <v>394</v>
      </c>
      <c r="N151" s="125">
        <v>67000</v>
      </c>
      <c r="O151" s="7">
        <v>0</v>
      </c>
      <c r="P151" s="7">
        <v>0</v>
      </c>
      <c r="Q151" s="120" t="s">
        <v>123</v>
      </c>
      <c r="R151" s="120" t="s">
        <v>122</v>
      </c>
      <c r="S151" s="116" t="s">
        <v>248</v>
      </c>
      <c r="T151" s="117">
        <v>3846666</v>
      </c>
      <c r="U151" s="123" t="s">
        <v>249</v>
      </c>
      <c r="V151" s="120" t="s">
        <v>397</v>
      </c>
      <c r="W151" s="102" t="s">
        <v>402</v>
      </c>
      <c r="X151" s="116" t="s">
        <v>398</v>
      </c>
      <c r="Y151" s="120"/>
      <c r="Z151" s="120"/>
      <c r="AA151" s="120"/>
      <c r="AB151" s="8">
        <f t="shared" si="10"/>
        <v>67000</v>
      </c>
      <c r="AC151" s="120"/>
      <c r="AD151" s="120"/>
      <c r="AE151" s="120"/>
      <c r="AF151" s="120"/>
      <c r="AG151" s="120"/>
      <c r="AH151" s="120"/>
      <c r="AI151" s="120"/>
      <c r="AJ151" s="120"/>
      <c r="AK151" s="120"/>
      <c r="AL151" s="120"/>
      <c r="AM151" s="120"/>
    </row>
    <row r="152" spans="1:39" s="118" customFormat="1" ht="104.25" hidden="1" customHeight="1" x14ac:dyDescent="0.3">
      <c r="A152" s="124" t="s">
        <v>323</v>
      </c>
      <c r="B152" s="120" t="s">
        <v>50</v>
      </c>
      <c r="C152" s="175" t="s">
        <v>452</v>
      </c>
      <c r="D152" s="120" t="s">
        <v>50</v>
      </c>
      <c r="E152" s="120" t="s">
        <v>389</v>
      </c>
      <c r="F152" s="120" t="s">
        <v>50</v>
      </c>
      <c r="G152" s="116" t="s">
        <v>387</v>
      </c>
      <c r="H152" s="117" t="s">
        <v>50</v>
      </c>
      <c r="I152" s="117" t="s">
        <v>50</v>
      </c>
      <c r="J152" s="117" t="s">
        <v>50</v>
      </c>
      <c r="K152" s="117" t="s">
        <v>50</v>
      </c>
      <c r="L152" s="120" t="s">
        <v>52</v>
      </c>
      <c r="M152" s="120" t="s">
        <v>394</v>
      </c>
      <c r="N152" s="125">
        <v>16480000</v>
      </c>
      <c r="O152" s="7">
        <v>0</v>
      </c>
      <c r="P152" s="7">
        <v>0</v>
      </c>
      <c r="Q152" s="120" t="s">
        <v>123</v>
      </c>
      <c r="R152" s="120" t="s">
        <v>122</v>
      </c>
      <c r="S152" s="116" t="s">
        <v>248</v>
      </c>
      <c r="T152" s="117">
        <v>3846666</v>
      </c>
      <c r="U152" s="123" t="s">
        <v>249</v>
      </c>
      <c r="V152" s="120" t="s">
        <v>397</v>
      </c>
      <c r="W152" s="102" t="s">
        <v>387</v>
      </c>
      <c r="X152" s="116" t="s">
        <v>398</v>
      </c>
      <c r="Y152" s="120"/>
      <c r="Z152" s="120"/>
      <c r="AA152" s="120"/>
      <c r="AB152" s="8">
        <f t="shared" si="10"/>
        <v>16480000</v>
      </c>
      <c r="AC152" s="120"/>
      <c r="AD152" s="120"/>
      <c r="AE152" s="120"/>
      <c r="AF152" s="120"/>
      <c r="AG152" s="120"/>
      <c r="AH152" s="120"/>
      <c r="AI152" s="120"/>
      <c r="AJ152" s="120"/>
      <c r="AK152" s="120"/>
      <c r="AL152" s="120"/>
      <c r="AM152" s="120"/>
    </row>
    <row r="153" spans="1:39" s="118" customFormat="1" ht="104.25" hidden="1" customHeight="1" x14ac:dyDescent="0.3">
      <c r="A153" s="124" t="s">
        <v>324</v>
      </c>
      <c r="B153" s="120" t="s">
        <v>50</v>
      </c>
      <c r="C153" s="174" t="s">
        <v>453</v>
      </c>
      <c r="D153" s="120" t="s">
        <v>50</v>
      </c>
      <c r="E153" s="120" t="s">
        <v>389</v>
      </c>
      <c r="F153" s="120" t="s">
        <v>50</v>
      </c>
      <c r="G153" s="116" t="s">
        <v>388</v>
      </c>
      <c r="H153" s="117" t="s">
        <v>50</v>
      </c>
      <c r="I153" s="117" t="s">
        <v>50</v>
      </c>
      <c r="J153" s="117" t="s">
        <v>50</v>
      </c>
      <c r="K153" s="117" t="s">
        <v>50</v>
      </c>
      <c r="L153" s="120" t="s">
        <v>52</v>
      </c>
      <c r="M153" s="120" t="s">
        <v>394</v>
      </c>
      <c r="N153" s="125">
        <f>20157100-67000</f>
        <v>20090100</v>
      </c>
      <c r="O153" s="7">
        <v>0</v>
      </c>
      <c r="P153" s="7">
        <v>0</v>
      </c>
      <c r="Q153" s="120" t="s">
        <v>123</v>
      </c>
      <c r="R153" s="120" t="s">
        <v>122</v>
      </c>
      <c r="S153" s="116" t="s">
        <v>248</v>
      </c>
      <c r="T153" s="117">
        <v>3846666</v>
      </c>
      <c r="U153" s="123" t="s">
        <v>249</v>
      </c>
      <c r="V153" s="120" t="s">
        <v>397</v>
      </c>
      <c r="W153" s="102" t="s">
        <v>403</v>
      </c>
      <c r="X153" s="116" t="s">
        <v>398</v>
      </c>
      <c r="Y153" s="120"/>
      <c r="Z153" s="120"/>
      <c r="AA153" s="120"/>
      <c r="AB153" s="8">
        <f t="shared" si="10"/>
        <v>20090100</v>
      </c>
      <c r="AC153" s="120"/>
      <c r="AD153" s="120"/>
      <c r="AE153" s="120"/>
      <c r="AF153" s="120"/>
      <c r="AG153" s="120"/>
      <c r="AH153" s="120"/>
      <c r="AI153" s="120"/>
      <c r="AJ153" s="120"/>
      <c r="AK153" s="120"/>
      <c r="AL153" s="120"/>
      <c r="AM153" s="120"/>
    </row>
    <row r="154" spans="1:39" ht="39.9" customHeight="1" x14ac:dyDescent="0.3">
      <c r="N154" s="188">
        <f>SUBTOTAL(9,N3:N153)</f>
        <v>1209232894</v>
      </c>
    </row>
    <row r="161" spans="14:20" ht="39.9" customHeight="1" x14ac:dyDescent="0.3">
      <c r="R161" s="118"/>
      <c r="T161" s="5"/>
    </row>
    <row r="164" spans="14:20" ht="39.9" customHeight="1" x14ac:dyDescent="0.3">
      <c r="N164" s="6"/>
    </row>
  </sheetData>
  <autoFilter ref="A2:AM153" xr:uid="{00000000-0009-0000-0000-000000000000}">
    <filterColumn colId="2">
      <filters>
        <filter val="MC-01"/>
        <filter val="MC-02"/>
        <filter val="MC-03"/>
      </filters>
    </filterColumn>
  </autoFilter>
  <mergeCells count="1">
    <mergeCell ref="A1:AM1"/>
  </mergeCells>
  <conditionalFormatting sqref="D64">
    <cfRule type="duplicateValues" dxfId="58" priority="25"/>
  </conditionalFormatting>
  <conditionalFormatting sqref="D64">
    <cfRule type="duplicateValues" dxfId="57" priority="26"/>
  </conditionalFormatting>
  <conditionalFormatting sqref="F65:G65">
    <cfRule type="duplicateValues" dxfId="56" priority="23"/>
  </conditionalFormatting>
  <conditionalFormatting sqref="F65:G65">
    <cfRule type="duplicateValues" dxfId="55" priority="24"/>
  </conditionalFormatting>
  <conditionalFormatting sqref="D65">
    <cfRule type="duplicateValues" dxfId="54" priority="21"/>
  </conditionalFormatting>
  <conditionalFormatting sqref="D65">
    <cfRule type="duplicateValues" dxfId="53" priority="22"/>
  </conditionalFormatting>
  <conditionalFormatting sqref="D66">
    <cfRule type="duplicateValues" dxfId="52" priority="19"/>
  </conditionalFormatting>
  <conditionalFormatting sqref="D66">
    <cfRule type="duplicateValues" dxfId="51" priority="20"/>
  </conditionalFormatting>
  <conditionalFormatting sqref="G69">
    <cfRule type="duplicateValues" dxfId="50" priority="15"/>
  </conditionalFormatting>
  <conditionalFormatting sqref="G69">
    <cfRule type="duplicateValues" dxfId="49" priority="16"/>
  </conditionalFormatting>
  <conditionalFormatting sqref="G67:G68 G70 G72 G81:G85 G74:G79">
    <cfRule type="duplicateValues" dxfId="48" priority="27"/>
  </conditionalFormatting>
  <conditionalFormatting sqref="G67:G68 G70 G72 G81:G85 G74:G79">
    <cfRule type="duplicateValues" dxfId="47" priority="30"/>
  </conditionalFormatting>
  <conditionalFormatting sqref="A150">
    <cfRule type="duplicateValues" dxfId="46" priority="14"/>
  </conditionalFormatting>
  <conditionalFormatting sqref="C88:C89">
    <cfRule type="duplicateValues" dxfId="45" priority="11"/>
  </conditionalFormatting>
  <conditionalFormatting sqref="G150">
    <cfRule type="duplicateValues" dxfId="44" priority="8"/>
  </conditionalFormatting>
  <conditionalFormatting sqref="C148 C150:C153">
    <cfRule type="duplicateValues" dxfId="43" priority="31"/>
  </conditionalFormatting>
  <conditionalFormatting sqref="G71">
    <cfRule type="duplicateValues" dxfId="42" priority="6"/>
  </conditionalFormatting>
  <conditionalFormatting sqref="G71">
    <cfRule type="duplicateValues" dxfId="41" priority="7"/>
  </conditionalFormatting>
  <conditionalFormatting sqref="G80">
    <cfRule type="duplicateValues" dxfId="40" priority="4"/>
  </conditionalFormatting>
  <conditionalFormatting sqref="G80">
    <cfRule type="duplicateValues" dxfId="39" priority="5"/>
  </conditionalFormatting>
  <conditionalFormatting sqref="G73">
    <cfRule type="duplicateValues" dxfId="38" priority="2"/>
  </conditionalFormatting>
  <conditionalFormatting sqref="G73">
    <cfRule type="duplicateValues" dxfId="37" priority="3"/>
  </conditionalFormatting>
  <dataValidations count="6">
    <dataValidation type="list" allowBlank="1" showInputMessage="1" showErrorMessage="1" sqref="D58:D61" xr:uid="{00000000-0002-0000-0000-000000000000}">
      <formula1>META</formula1>
    </dataValidation>
    <dataValidation type="list" allowBlank="1" showInputMessage="1" showErrorMessage="1" sqref="W58 W60:W69 W74:W77 W81:W87 W150:W153 W147:W148 W106:W145" xr:uid="{00000000-0002-0000-0000-000001000000}">
      <formula1>gasto</formula1>
    </dataValidation>
    <dataValidation type="list" allowBlank="1" showInputMessage="1" showErrorMessage="1" sqref="D64:D66" xr:uid="{00000000-0002-0000-0000-000002000000}">
      <formula1>metas</formula1>
    </dataValidation>
    <dataValidation type="list" allowBlank="1" showInputMessage="1" showErrorMessage="1" sqref="L143 L74:L75 L65:L68 L107:L124 L127:L130 L138 L149:L153" xr:uid="{00000000-0002-0000-0000-000003000000}">
      <formula1>M</formula1>
    </dataValidation>
    <dataValidation type="list" allowBlank="1" showInputMessage="1" showErrorMessage="1" sqref="C67:C87" xr:uid="{00000000-0002-0000-0000-000004000000}">
      <formula1>CPA</formula1>
    </dataValidation>
    <dataValidation type="list" allowBlank="1" showInputMessage="1" showErrorMessage="1" sqref="B58:B153" xr:uid="{00000000-0002-0000-0000-000005000000}">
      <formula1>PROYECTO</formula1>
    </dataValidation>
  </dataValidations>
  <hyperlinks>
    <hyperlink ref="U3" r:id="rId1" xr:uid="{00000000-0004-0000-0000-000000000000}"/>
    <hyperlink ref="U4:U57" r:id="rId2" display="subdireccion@inci.gov.co" xr:uid="{00000000-0004-0000-0000-000001000000}"/>
    <hyperlink ref="U36" r:id="rId3" xr:uid="{00000000-0004-0000-0000-000002000000}"/>
    <hyperlink ref="U55" r:id="rId4" xr:uid="{00000000-0004-0000-0000-000003000000}"/>
    <hyperlink ref="U58" r:id="rId5" xr:uid="{00000000-0004-0000-0000-000004000000}"/>
    <hyperlink ref="U59" r:id="rId6" xr:uid="{00000000-0004-0000-0000-000005000000}"/>
    <hyperlink ref="U60" r:id="rId7" xr:uid="{00000000-0004-0000-0000-000006000000}"/>
    <hyperlink ref="U61" r:id="rId8" xr:uid="{00000000-0004-0000-0000-000007000000}"/>
    <hyperlink ref="U62" r:id="rId9" xr:uid="{00000000-0004-0000-0000-000008000000}"/>
    <hyperlink ref="U63" r:id="rId10" xr:uid="{00000000-0004-0000-0000-000009000000}"/>
    <hyperlink ref="U64" r:id="rId11" xr:uid="{00000000-0004-0000-0000-00000A000000}"/>
    <hyperlink ref="U65" r:id="rId12" xr:uid="{00000000-0004-0000-0000-00000B000000}"/>
    <hyperlink ref="U66" r:id="rId13" xr:uid="{00000000-0004-0000-0000-00000C000000}"/>
    <hyperlink ref="U67" r:id="rId14" xr:uid="{00000000-0004-0000-0000-00000D000000}"/>
    <hyperlink ref="U68" r:id="rId15" xr:uid="{00000000-0004-0000-0000-00000E000000}"/>
    <hyperlink ref="U69" r:id="rId16" xr:uid="{00000000-0004-0000-0000-00000F000000}"/>
    <hyperlink ref="U70" r:id="rId17" xr:uid="{00000000-0004-0000-0000-000010000000}"/>
    <hyperlink ref="U72" r:id="rId18" xr:uid="{00000000-0004-0000-0000-000011000000}"/>
    <hyperlink ref="U74" r:id="rId19" xr:uid="{00000000-0004-0000-0000-000012000000}"/>
    <hyperlink ref="U75" r:id="rId20" xr:uid="{00000000-0004-0000-0000-000013000000}"/>
    <hyperlink ref="U76" r:id="rId21" xr:uid="{00000000-0004-0000-0000-000014000000}"/>
    <hyperlink ref="U77" r:id="rId22" xr:uid="{00000000-0004-0000-0000-000015000000}"/>
    <hyperlink ref="U78" r:id="rId23" xr:uid="{00000000-0004-0000-0000-000016000000}"/>
    <hyperlink ref="U79" r:id="rId24" xr:uid="{00000000-0004-0000-0000-000017000000}"/>
    <hyperlink ref="U81" r:id="rId25" xr:uid="{00000000-0004-0000-0000-000018000000}"/>
    <hyperlink ref="U82" r:id="rId26" xr:uid="{00000000-0004-0000-0000-000019000000}"/>
    <hyperlink ref="U83" r:id="rId27" xr:uid="{00000000-0004-0000-0000-00001A000000}"/>
    <hyperlink ref="U84" r:id="rId28" xr:uid="{00000000-0004-0000-0000-00001B000000}"/>
    <hyperlink ref="U85" r:id="rId29" xr:uid="{00000000-0004-0000-0000-00001C000000}"/>
    <hyperlink ref="U86" r:id="rId30" xr:uid="{00000000-0004-0000-0000-00001D000000}"/>
    <hyperlink ref="U87" r:id="rId31" xr:uid="{00000000-0004-0000-0000-00001E000000}"/>
    <hyperlink ref="U122" r:id="rId32" xr:uid="{00000000-0004-0000-0000-00001F000000}"/>
    <hyperlink ref="U123" r:id="rId33" xr:uid="{00000000-0004-0000-0000-000020000000}"/>
    <hyperlink ref="U140" r:id="rId34" xr:uid="{00000000-0004-0000-0000-000021000000}"/>
    <hyperlink ref="U141" r:id="rId35" xr:uid="{00000000-0004-0000-0000-000022000000}"/>
    <hyperlink ref="U142" r:id="rId36" xr:uid="{00000000-0004-0000-0000-000023000000}"/>
    <hyperlink ref="U93" r:id="rId37" xr:uid="{00000000-0004-0000-0000-000024000000}"/>
    <hyperlink ref="U146" r:id="rId38" xr:uid="{00000000-0004-0000-0000-000025000000}"/>
    <hyperlink ref="U125" r:id="rId39" xr:uid="{00000000-0004-0000-0000-000026000000}"/>
    <hyperlink ref="U106" r:id="rId40" xr:uid="{00000000-0004-0000-0000-000027000000}"/>
    <hyperlink ref="U150" r:id="rId41" xr:uid="{00000000-0004-0000-0000-000028000000}"/>
    <hyperlink ref="U29" r:id="rId42" xr:uid="{00000000-0004-0000-0000-000029000000}"/>
    <hyperlink ref="U49" r:id="rId43" xr:uid="{00000000-0004-0000-0000-00002A000000}"/>
    <hyperlink ref="U41" r:id="rId44" xr:uid="{00000000-0004-0000-0000-00002B000000}"/>
    <hyperlink ref="U71" r:id="rId45" xr:uid="{00000000-0004-0000-0000-00002C000000}"/>
    <hyperlink ref="U80" r:id="rId46" xr:uid="{00000000-0004-0000-0000-00002D000000}"/>
    <hyperlink ref="U73" r:id="rId47" xr:uid="{00000000-0004-0000-0000-00002E000000}"/>
    <hyperlink ref="U94" r:id="rId48" xr:uid="{00000000-0004-0000-0000-00002F000000}"/>
    <hyperlink ref="U126" r:id="rId49" xr:uid="{00000000-0004-0000-0000-000030000000}"/>
    <hyperlink ref="U46" r:id="rId50" xr:uid="{00000000-0004-0000-0000-000031000000}"/>
    <hyperlink ref="U47" r:id="rId51" xr:uid="{00000000-0004-0000-0000-000032000000}"/>
    <hyperlink ref="U17" r:id="rId52" xr:uid="{00000000-0004-0000-0000-000033000000}"/>
  </hyperlinks>
  <pageMargins left="0.7" right="0.7" top="0.75" bottom="0.75" header="0.3" footer="0.3"/>
  <pageSetup orientation="portrait" r:id="rId53"/>
  <drawing r:id="rId5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W9"/>
  <sheetViews>
    <sheetView zoomScale="50" zoomScaleNormal="50" workbookViewId="0">
      <selection activeCell="D6" sqref="D6"/>
    </sheetView>
  </sheetViews>
  <sheetFormatPr baseColWidth="10" defaultRowHeight="14.4" x14ac:dyDescent="0.3"/>
  <cols>
    <col min="1" max="1" width="40.44140625" style="3" customWidth="1"/>
    <col min="2" max="2" width="44.33203125" customWidth="1"/>
    <col min="3" max="3" width="21.88671875" customWidth="1"/>
    <col min="4" max="4" width="35.44140625" customWidth="1"/>
    <col min="5" max="6" width="21.88671875" customWidth="1"/>
    <col min="7" max="7" width="49.109375" customWidth="1"/>
    <col min="8" max="12" width="21.88671875" customWidth="1"/>
    <col min="13" max="15" width="21.88671875" hidden="1" customWidth="1"/>
    <col min="16" max="23" width="21.88671875" customWidth="1"/>
  </cols>
  <sheetData>
    <row r="2" spans="1:23" ht="15" thickBot="1" x14ac:dyDescent="0.35"/>
    <row r="3" spans="1:23" s="64" customFormat="1" ht="133.5" customHeight="1" thickBot="1" x14ac:dyDescent="0.35">
      <c r="A3" s="53" t="s">
        <v>0</v>
      </c>
      <c r="B3" s="54" t="s">
        <v>1</v>
      </c>
      <c r="C3" s="54" t="s">
        <v>2</v>
      </c>
      <c r="D3" s="55" t="s">
        <v>3</v>
      </c>
      <c r="E3" s="54" t="s">
        <v>4</v>
      </c>
      <c r="F3" s="56" t="s">
        <v>5</v>
      </c>
      <c r="G3" s="56" t="s">
        <v>6</v>
      </c>
      <c r="H3" s="56" t="s">
        <v>12</v>
      </c>
      <c r="I3" s="56" t="s">
        <v>18</v>
      </c>
      <c r="J3" s="57" t="s">
        <v>22</v>
      </c>
      <c r="K3" s="57" t="s">
        <v>23</v>
      </c>
      <c r="L3" s="58" t="s">
        <v>408</v>
      </c>
      <c r="M3" s="59" t="s">
        <v>28</v>
      </c>
      <c r="N3" s="60" t="s">
        <v>29</v>
      </c>
      <c r="O3" s="61" t="s">
        <v>30</v>
      </c>
      <c r="P3" s="59" t="s">
        <v>31</v>
      </c>
      <c r="Q3" s="62" t="s">
        <v>32</v>
      </c>
      <c r="R3" s="60" t="s">
        <v>33</v>
      </c>
      <c r="S3" s="60" t="s">
        <v>34</v>
      </c>
      <c r="T3" s="59" t="s">
        <v>35</v>
      </c>
      <c r="U3" s="59" t="s">
        <v>36</v>
      </c>
      <c r="V3" s="60" t="s">
        <v>37</v>
      </c>
      <c r="W3" s="63" t="s">
        <v>38</v>
      </c>
    </row>
    <row r="4" spans="1:23" s="64" customFormat="1" ht="151.5" customHeight="1" x14ac:dyDescent="0.3">
      <c r="A4" s="69" t="s">
        <v>39</v>
      </c>
      <c r="B4" s="10" t="s">
        <v>40</v>
      </c>
      <c r="C4" s="66" t="s">
        <v>41</v>
      </c>
      <c r="D4" s="67" t="s">
        <v>42</v>
      </c>
      <c r="E4" s="68" t="s">
        <v>43</v>
      </c>
      <c r="F4" s="69">
        <v>78111502</v>
      </c>
      <c r="G4" s="70" t="s">
        <v>407</v>
      </c>
      <c r="H4" s="68" t="s">
        <v>411</v>
      </c>
      <c r="I4" s="68" t="s">
        <v>409</v>
      </c>
      <c r="J4" s="71" t="s">
        <v>209</v>
      </c>
      <c r="K4" s="71"/>
      <c r="L4" s="72"/>
      <c r="M4" s="71"/>
      <c r="N4" s="71"/>
      <c r="O4" s="71"/>
      <c r="P4" s="71"/>
      <c r="Q4" s="71"/>
      <c r="R4" s="71"/>
      <c r="S4" s="71"/>
      <c r="T4" s="71"/>
      <c r="U4" s="71"/>
      <c r="V4" s="71"/>
      <c r="W4" s="71"/>
    </row>
    <row r="5" spans="1:23" s="64" customFormat="1" ht="133.5" customHeight="1" x14ac:dyDescent="0.3">
      <c r="A5" s="69" t="s">
        <v>39</v>
      </c>
      <c r="B5" s="10" t="s">
        <v>40</v>
      </c>
      <c r="C5" s="66" t="s">
        <v>41</v>
      </c>
      <c r="D5" s="73" t="s">
        <v>61</v>
      </c>
      <c r="E5" s="68" t="s">
        <v>43</v>
      </c>
      <c r="F5" s="69">
        <v>78111502</v>
      </c>
      <c r="G5" s="74" t="s">
        <v>407</v>
      </c>
      <c r="H5" s="68" t="s">
        <v>411</v>
      </c>
      <c r="I5" s="68" t="s">
        <v>409</v>
      </c>
      <c r="J5" s="71" t="s">
        <v>209</v>
      </c>
      <c r="K5" s="75"/>
      <c r="L5" s="76"/>
      <c r="M5" s="65"/>
      <c r="N5" s="65"/>
      <c r="O5" s="65"/>
      <c r="P5" s="65"/>
      <c r="Q5" s="65"/>
      <c r="R5" s="65"/>
      <c r="S5" s="65"/>
      <c r="T5" s="65"/>
      <c r="U5" s="65"/>
      <c r="V5" s="65"/>
      <c r="W5" s="65"/>
    </row>
    <row r="6" spans="1:23" s="64" customFormat="1" ht="188.25" customHeight="1" x14ac:dyDescent="0.3">
      <c r="A6" s="69" t="s">
        <v>70</v>
      </c>
      <c r="B6" s="10" t="s">
        <v>40</v>
      </c>
      <c r="C6" s="66" t="s">
        <v>71</v>
      </c>
      <c r="D6" s="67" t="s">
        <v>210</v>
      </c>
      <c r="E6" s="68" t="s">
        <v>43</v>
      </c>
      <c r="F6" s="69">
        <v>78102203</v>
      </c>
      <c r="G6" s="70" t="s">
        <v>211</v>
      </c>
      <c r="H6" s="68" t="s">
        <v>411</v>
      </c>
      <c r="I6" s="68" t="s">
        <v>409</v>
      </c>
      <c r="J6" s="71" t="s">
        <v>65</v>
      </c>
      <c r="K6" s="71"/>
      <c r="L6" s="77"/>
      <c r="M6" s="65"/>
      <c r="N6" s="65"/>
      <c r="O6" s="65"/>
      <c r="P6" s="65"/>
      <c r="Q6" s="65"/>
      <c r="R6" s="65"/>
      <c r="S6" s="65"/>
      <c r="T6" s="65"/>
      <c r="U6" s="65"/>
      <c r="V6" s="65"/>
      <c r="W6" s="65"/>
    </row>
    <row r="7" spans="1:23" s="64" customFormat="1" ht="143.25" customHeight="1" x14ac:dyDescent="0.3">
      <c r="A7" s="69" t="s">
        <v>70</v>
      </c>
      <c r="B7" s="10" t="s">
        <v>40</v>
      </c>
      <c r="C7" s="66" t="s">
        <v>71</v>
      </c>
      <c r="D7" s="73" t="s">
        <v>78</v>
      </c>
      <c r="E7" s="68" t="s">
        <v>79</v>
      </c>
      <c r="F7" s="69">
        <v>80141607</v>
      </c>
      <c r="G7" s="74" t="s">
        <v>212</v>
      </c>
      <c r="H7" s="68" t="s">
        <v>411</v>
      </c>
      <c r="I7" s="68" t="s">
        <v>409</v>
      </c>
      <c r="J7" s="71" t="s">
        <v>65</v>
      </c>
      <c r="K7" s="75"/>
      <c r="L7" s="78"/>
      <c r="M7" s="65"/>
      <c r="N7" s="65"/>
      <c r="O7" s="65"/>
      <c r="P7" s="65"/>
      <c r="Q7" s="65"/>
      <c r="R7" s="65"/>
      <c r="S7" s="65"/>
      <c r="T7" s="65"/>
      <c r="U7" s="65"/>
      <c r="V7" s="65"/>
      <c r="W7" s="65"/>
    </row>
    <row r="8" spans="1:23" s="64" customFormat="1" ht="133.5" customHeight="1" x14ac:dyDescent="0.3">
      <c r="A8" s="69" t="s">
        <v>119</v>
      </c>
      <c r="B8" s="10" t="s">
        <v>40</v>
      </c>
      <c r="C8" s="66" t="s">
        <v>108</v>
      </c>
      <c r="D8" s="73" t="s">
        <v>109</v>
      </c>
      <c r="E8" s="68" t="s">
        <v>43</v>
      </c>
      <c r="F8" s="69">
        <v>78111502</v>
      </c>
      <c r="G8" s="74" t="s">
        <v>407</v>
      </c>
      <c r="H8" s="68" t="s">
        <v>411</v>
      </c>
      <c r="I8" s="68" t="s">
        <v>409</v>
      </c>
      <c r="J8" s="71" t="s">
        <v>209</v>
      </c>
      <c r="K8" s="75"/>
      <c r="L8" s="76"/>
      <c r="M8" s="65"/>
      <c r="N8" s="65"/>
      <c r="O8" s="65"/>
      <c r="P8" s="65"/>
      <c r="Q8" s="65"/>
      <c r="R8" s="65"/>
      <c r="S8" s="65"/>
      <c r="T8" s="65"/>
      <c r="U8" s="65"/>
      <c r="V8" s="65"/>
      <c r="W8" s="65"/>
    </row>
    <row r="9" spans="1:23" s="64" customFormat="1" ht="133.5" customHeight="1" x14ac:dyDescent="0.3">
      <c r="A9" s="69" t="s">
        <v>119</v>
      </c>
      <c r="B9" s="10" t="s">
        <v>40</v>
      </c>
      <c r="C9" s="66" t="s">
        <v>108</v>
      </c>
      <c r="D9" s="73" t="s">
        <v>116</v>
      </c>
      <c r="E9" s="68" t="s">
        <v>43</v>
      </c>
      <c r="F9" s="69">
        <v>78111502</v>
      </c>
      <c r="G9" s="74" t="s">
        <v>407</v>
      </c>
      <c r="H9" s="68" t="s">
        <v>411</v>
      </c>
      <c r="I9" s="68" t="s">
        <v>409</v>
      </c>
      <c r="J9" s="71" t="s">
        <v>209</v>
      </c>
      <c r="K9" s="75"/>
      <c r="L9" s="78"/>
      <c r="M9" s="69"/>
      <c r="N9" s="69"/>
      <c r="O9" s="65"/>
      <c r="P9" s="65"/>
      <c r="Q9" s="65"/>
      <c r="R9" s="65"/>
      <c r="S9" s="65"/>
      <c r="T9" s="65"/>
      <c r="U9" s="65"/>
      <c r="V9" s="65"/>
      <c r="W9" s="65"/>
    </row>
  </sheetData>
  <conditionalFormatting sqref="D4">
    <cfRule type="duplicateValues" dxfId="36" priority="2"/>
  </conditionalFormatting>
  <conditionalFormatting sqref="D4">
    <cfRule type="duplicateValues" dxfId="35" priority="1"/>
  </conditionalFormatting>
  <conditionalFormatting sqref="D7">
    <cfRule type="duplicateValues" dxfId="34" priority="3"/>
  </conditionalFormatting>
  <conditionalFormatting sqref="D7">
    <cfRule type="duplicateValues" dxfId="33" priority="4"/>
  </conditionalFormatting>
  <dataValidations count="7">
    <dataValidation type="list" allowBlank="1" showInputMessage="1" showErrorMessage="1" sqref="C4:C9" xr:uid="{00000000-0002-0000-0100-000000000000}">
      <formula1>CPA</formula1>
    </dataValidation>
    <dataValidation type="list" allowBlank="1" showInputMessage="1" showErrorMessage="1" sqref="E4:E9" xr:uid="{00000000-0002-0000-0100-000001000000}">
      <formula1>proceso</formula1>
    </dataValidation>
    <dataValidation type="list" allowBlank="1" showInputMessage="1" showErrorMessage="1" sqref="J4:J9" xr:uid="{00000000-0002-0000-0100-000002000000}">
      <formula1>gasto</formula1>
    </dataValidation>
    <dataValidation type="list" allowBlank="1" showInputMessage="1" showErrorMessage="1" sqref="D7" xr:uid="{00000000-0002-0000-0100-000003000000}">
      <formula1>metas</formula1>
    </dataValidation>
    <dataValidation type="list" allowBlank="1" showInputMessage="1" showErrorMessage="1" sqref="B4:B9" xr:uid="{00000000-0002-0000-0100-000004000000}">
      <formula1>PROYECTO</formula1>
    </dataValidation>
    <dataValidation type="list" allowBlank="1" showInputMessage="1" showErrorMessage="1" sqref="D5 D9" xr:uid="{00000000-0002-0000-0100-000005000000}">
      <formula1>META</formula1>
    </dataValidation>
    <dataValidation type="list" allowBlank="1" showInputMessage="1" showErrorMessage="1" sqref="H4:I9" xr:uid="{00000000-0002-0000-0100-000006000000}">
      <formula1>M</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4"/>
  <sheetViews>
    <sheetView zoomScale="50" zoomScaleNormal="50" zoomScaleSheetLayoutView="140" workbookViewId="0">
      <pane ySplit="1" topLeftCell="A22" activePane="bottomLeft" state="frozen"/>
      <selection activeCell="F7" sqref="F7"/>
      <selection pane="bottomLeft" activeCell="C45" sqref="C45"/>
    </sheetView>
  </sheetViews>
  <sheetFormatPr baseColWidth="10" defaultColWidth="11.44140625" defaultRowHeight="15" x14ac:dyDescent="0.25"/>
  <cols>
    <col min="1" max="1" width="45.5546875" style="50" customWidth="1"/>
    <col min="2" max="2" width="22.109375" style="9" customWidth="1"/>
    <col min="3" max="3" width="20.6640625" style="9" customWidth="1"/>
    <col min="4" max="4" width="35.6640625" style="9" customWidth="1"/>
    <col min="5" max="5" width="20.88671875" style="51" customWidth="1"/>
    <col min="6" max="6" width="13.88671875" style="52" customWidth="1"/>
    <col min="7" max="7" width="29.6640625" style="52" customWidth="1"/>
    <col min="8" max="8" width="23.5546875" style="51" customWidth="1"/>
    <col min="9" max="9" width="27.5546875" style="51" customWidth="1"/>
    <col min="10" max="10" width="31.33203125" style="49" customWidth="1"/>
    <col min="11" max="12" width="11.44140625" style="49"/>
    <col min="13" max="13" width="20.109375" style="49" bestFit="1" customWidth="1"/>
    <col min="14" max="16384" width="11.44140625" style="49"/>
  </cols>
  <sheetData>
    <row r="1" spans="1:13" s="20" customFormat="1" ht="79.5" customHeight="1" x14ac:dyDescent="0.3">
      <c r="A1" s="16" t="s">
        <v>124</v>
      </c>
      <c r="B1" s="17" t="s">
        <v>125</v>
      </c>
      <c r="C1" s="17" t="s">
        <v>126</v>
      </c>
      <c r="D1" s="17" t="s">
        <v>127</v>
      </c>
      <c r="E1" s="18" t="s">
        <v>128</v>
      </c>
      <c r="F1" s="17" t="s">
        <v>129</v>
      </c>
      <c r="G1" s="17" t="s">
        <v>130</v>
      </c>
      <c r="H1" s="18" t="s">
        <v>131</v>
      </c>
      <c r="I1" s="18" t="s">
        <v>132</v>
      </c>
      <c r="J1" s="19" t="s">
        <v>133</v>
      </c>
    </row>
    <row r="2" spans="1:13" s="28" customFormat="1" ht="100.5" customHeight="1" x14ac:dyDescent="0.25">
      <c r="A2" s="21" t="s">
        <v>42</v>
      </c>
      <c r="B2" s="22" t="s">
        <v>134</v>
      </c>
      <c r="C2" s="22" t="s">
        <v>135</v>
      </c>
      <c r="D2" s="22" t="s">
        <v>136</v>
      </c>
      <c r="E2" s="23">
        <v>171283</v>
      </c>
      <c r="F2" s="24">
        <v>4.5</v>
      </c>
      <c r="G2" s="25">
        <f>E2*F2+0.5</f>
        <v>770774</v>
      </c>
      <c r="H2" s="26">
        <v>800000</v>
      </c>
      <c r="I2" s="26"/>
      <c r="J2" s="27"/>
    </row>
    <row r="3" spans="1:13" s="28" customFormat="1" ht="100.5" customHeight="1" x14ac:dyDescent="0.25">
      <c r="A3" s="21" t="s">
        <v>42</v>
      </c>
      <c r="B3" s="22" t="s">
        <v>134</v>
      </c>
      <c r="C3" s="22" t="s">
        <v>137</v>
      </c>
      <c r="D3" s="22" t="s">
        <v>136</v>
      </c>
      <c r="E3" s="26"/>
      <c r="F3" s="29"/>
      <c r="G3" s="30"/>
      <c r="H3" s="26"/>
      <c r="I3" s="26"/>
      <c r="J3" s="26"/>
      <c r="M3" s="189"/>
    </row>
    <row r="4" spans="1:13" s="28" customFormat="1" ht="100.5" customHeight="1" x14ac:dyDescent="0.25">
      <c r="A4" s="21" t="s">
        <v>42</v>
      </c>
      <c r="B4" s="22" t="s">
        <v>134</v>
      </c>
      <c r="C4" s="22" t="s">
        <v>138</v>
      </c>
      <c r="D4" s="22" t="s">
        <v>136</v>
      </c>
      <c r="E4" s="26"/>
      <c r="F4" s="29"/>
      <c r="G4" s="30"/>
      <c r="H4" s="26"/>
      <c r="I4" s="26">
        <f>(30000*2)+60000</f>
        <v>120000</v>
      </c>
      <c r="J4" s="26"/>
      <c r="M4" s="189"/>
    </row>
    <row r="5" spans="1:13" s="28" customFormat="1" ht="100.5" customHeight="1" x14ac:dyDescent="0.25">
      <c r="A5" s="21" t="s">
        <v>42</v>
      </c>
      <c r="B5" s="22" t="s">
        <v>139</v>
      </c>
      <c r="C5" s="22" t="s">
        <v>140</v>
      </c>
      <c r="D5" s="22" t="s">
        <v>141</v>
      </c>
      <c r="E5" s="23">
        <v>171283</v>
      </c>
      <c r="F5" s="24">
        <v>4.5</v>
      </c>
      <c r="G5" s="25">
        <f>E5*F5+0.5</f>
        <v>770774</v>
      </c>
      <c r="H5" s="26"/>
      <c r="I5" s="26">
        <f>30000*2</f>
        <v>60000</v>
      </c>
      <c r="J5" s="26"/>
    </row>
    <row r="6" spans="1:13" s="28" customFormat="1" ht="100.5" customHeight="1" x14ac:dyDescent="0.25">
      <c r="A6" s="21" t="s">
        <v>42</v>
      </c>
      <c r="B6" s="22" t="s">
        <v>139</v>
      </c>
      <c r="C6" s="22" t="s">
        <v>142</v>
      </c>
      <c r="D6" s="22" t="s">
        <v>141</v>
      </c>
      <c r="E6" s="26"/>
      <c r="F6" s="29"/>
      <c r="G6" s="30">
        <f t="shared" ref="G6:G20" si="0">E6*F6</f>
        <v>0</v>
      </c>
      <c r="H6" s="26"/>
      <c r="I6" s="26">
        <f>40000*2</f>
        <v>80000</v>
      </c>
      <c r="J6" s="26"/>
    </row>
    <row r="7" spans="1:13" s="28" customFormat="1" ht="100.5" customHeight="1" x14ac:dyDescent="0.25">
      <c r="A7" s="21" t="s">
        <v>42</v>
      </c>
      <c r="B7" s="22" t="s">
        <v>139</v>
      </c>
      <c r="C7" s="22" t="s">
        <v>143</v>
      </c>
      <c r="D7" s="22" t="s">
        <v>141</v>
      </c>
      <c r="E7" s="26"/>
      <c r="F7" s="29"/>
      <c r="G7" s="30">
        <f t="shared" si="0"/>
        <v>0</v>
      </c>
      <c r="H7" s="26"/>
      <c r="I7" s="26">
        <f>10000*2</f>
        <v>20000</v>
      </c>
      <c r="J7" s="26"/>
    </row>
    <row r="8" spans="1:13" s="28" customFormat="1" ht="100.5" customHeight="1" x14ac:dyDescent="0.25">
      <c r="A8" s="21" t="s">
        <v>42</v>
      </c>
      <c r="B8" s="22" t="s">
        <v>139</v>
      </c>
      <c r="C8" s="22" t="s">
        <v>144</v>
      </c>
      <c r="D8" s="22" t="s">
        <v>141</v>
      </c>
      <c r="E8" s="26"/>
      <c r="F8" s="29"/>
      <c r="G8" s="30">
        <f t="shared" si="0"/>
        <v>0</v>
      </c>
      <c r="H8" s="26"/>
      <c r="I8" s="26">
        <f>15000*2</f>
        <v>30000</v>
      </c>
      <c r="J8" s="26"/>
    </row>
    <row r="9" spans="1:13" s="28" customFormat="1" ht="100.5" customHeight="1" x14ac:dyDescent="0.25">
      <c r="A9" s="21" t="s">
        <v>42</v>
      </c>
      <c r="B9" s="22" t="s">
        <v>145</v>
      </c>
      <c r="C9" s="22" t="s">
        <v>146</v>
      </c>
      <c r="D9" s="22" t="s">
        <v>147</v>
      </c>
      <c r="E9" s="23">
        <v>228866</v>
      </c>
      <c r="F9" s="24">
        <v>4.5</v>
      </c>
      <c r="G9" s="25">
        <f t="shared" si="0"/>
        <v>1029897</v>
      </c>
      <c r="H9" s="26">
        <v>800000</v>
      </c>
      <c r="I9" s="26">
        <f>(40000*2)+60000</f>
        <v>140000</v>
      </c>
      <c r="J9" s="26"/>
    </row>
    <row r="10" spans="1:13" s="28" customFormat="1" ht="100.5" customHeight="1" x14ac:dyDescent="0.25">
      <c r="A10" s="21" t="s">
        <v>42</v>
      </c>
      <c r="B10" s="22" t="s">
        <v>145</v>
      </c>
      <c r="C10" s="22" t="s">
        <v>148</v>
      </c>
      <c r="D10" s="22" t="s">
        <v>147</v>
      </c>
      <c r="E10" s="26"/>
      <c r="F10" s="29"/>
      <c r="G10" s="30">
        <f t="shared" si="0"/>
        <v>0</v>
      </c>
      <c r="H10" s="26"/>
      <c r="I10" s="26">
        <f>10000*2</f>
        <v>20000</v>
      </c>
      <c r="J10" s="26"/>
    </row>
    <row r="11" spans="1:13" s="28" customFormat="1" ht="100.5" customHeight="1" x14ac:dyDescent="0.25">
      <c r="A11" s="21" t="s">
        <v>42</v>
      </c>
      <c r="B11" s="22" t="s">
        <v>145</v>
      </c>
      <c r="C11" s="22" t="s">
        <v>149</v>
      </c>
      <c r="D11" s="22" t="s">
        <v>147</v>
      </c>
      <c r="E11" s="26"/>
      <c r="F11" s="29"/>
      <c r="G11" s="30">
        <f t="shared" si="0"/>
        <v>0</v>
      </c>
      <c r="H11" s="26"/>
      <c r="I11" s="26">
        <f>30000*2</f>
        <v>60000</v>
      </c>
      <c r="J11" s="26"/>
    </row>
    <row r="12" spans="1:13" s="28" customFormat="1" ht="100.5" customHeight="1" x14ac:dyDescent="0.25">
      <c r="A12" s="21" t="s">
        <v>42</v>
      </c>
      <c r="B12" s="22" t="s">
        <v>145</v>
      </c>
      <c r="C12" s="22" t="s">
        <v>150</v>
      </c>
      <c r="D12" s="22" t="s">
        <v>147</v>
      </c>
      <c r="E12" s="26"/>
      <c r="F12" s="29"/>
      <c r="G12" s="30">
        <f t="shared" si="0"/>
        <v>0</v>
      </c>
      <c r="H12" s="26"/>
      <c r="I12" s="26">
        <f>15000*2</f>
        <v>30000</v>
      </c>
      <c r="J12" s="26"/>
    </row>
    <row r="13" spans="1:13" s="28" customFormat="1" ht="100.5" customHeight="1" x14ac:dyDescent="0.25">
      <c r="A13" s="21" t="s">
        <v>42</v>
      </c>
      <c r="B13" s="22" t="s">
        <v>151</v>
      </c>
      <c r="C13" s="22" t="s">
        <v>152</v>
      </c>
      <c r="D13" s="22" t="s">
        <v>153</v>
      </c>
      <c r="E13" s="23">
        <v>171283</v>
      </c>
      <c r="F13" s="24">
        <v>4.5</v>
      </c>
      <c r="G13" s="25">
        <f>E13*F13+0.5</f>
        <v>770774</v>
      </c>
      <c r="H13" s="26">
        <v>800000</v>
      </c>
      <c r="I13" s="26">
        <f>(10000*2)+60000+90000</f>
        <v>170000</v>
      </c>
      <c r="J13" s="26" t="s">
        <v>154</v>
      </c>
    </row>
    <row r="14" spans="1:13" s="28" customFormat="1" ht="100.5" customHeight="1" x14ac:dyDescent="0.25">
      <c r="A14" s="21" t="s">
        <v>42</v>
      </c>
      <c r="B14" s="22" t="s">
        <v>151</v>
      </c>
      <c r="C14" s="22" t="s">
        <v>155</v>
      </c>
      <c r="D14" s="22" t="s">
        <v>153</v>
      </c>
      <c r="E14" s="26"/>
      <c r="F14" s="29"/>
      <c r="G14" s="30">
        <f t="shared" si="0"/>
        <v>0</v>
      </c>
      <c r="H14" s="26"/>
      <c r="I14" s="26">
        <f>10000*2</f>
        <v>20000</v>
      </c>
      <c r="J14" s="26"/>
    </row>
    <row r="15" spans="1:13" s="28" customFormat="1" ht="100.5" customHeight="1" x14ac:dyDescent="0.25">
      <c r="A15" s="21" t="s">
        <v>42</v>
      </c>
      <c r="B15" s="22" t="s">
        <v>156</v>
      </c>
      <c r="C15" s="22" t="s">
        <v>157</v>
      </c>
      <c r="D15" s="22" t="s">
        <v>158</v>
      </c>
      <c r="E15" s="23">
        <v>171283</v>
      </c>
      <c r="F15" s="24">
        <v>4.5</v>
      </c>
      <c r="G15" s="25">
        <f>E15*F15+0.5</f>
        <v>770774</v>
      </c>
      <c r="H15" s="26"/>
      <c r="I15" s="26">
        <f>60000*2</f>
        <v>120000</v>
      </c>
      <c r="J15" s="26"/>
    </row>
    <row r="16" spans="1:13" s="28" customFormat="1" ht="100.5" customHeight="1" x14ac:dyDescent="0.25">
      <c r="A16" s="21" t="s">
        <v>42</v>
      </c>
      <c r="B16" s="22" t="s">
        <v>159</v>
      </c>
      <c r="C16" s="22" t="s">
        <v>160</v>
      </c>
      <c r="D16" s="22" t="s">
        <v>161</v>
      </c>
      <c r="E16" s="23">
        <v>171283</v>
      </c>
      <c r="F16" s="24">
        <v>4.5</v>
      </c>
      <c r="G16" s="25">
        <f>E16*F16+0.5</f>
        <v>770774</v>
      </c>
      <c r="H16" s="26">
        <v>800000</v>
      </c>
      <c r="I16" s="26">
        <f>(60000*2)+60000</f>
        <v>180000</v>
      </c>
      <c r="J16" s="26"/>
    </row>
    <row r="17" spans="1:10" s="28" customFormat="1" ht="100.5" customHeight="1" x14ac:dyDescent="0.25">
      <c r="A17" s="21" t="s">
        <v>42</v>
      </c>
      <c r="B17" s="22" t="s">
        <v>162</v>
      </c>
      <c r="C17" s="22" t="s">
        <v>163</v>
      </c>
      <c r="D17" s="22" t="s">
        <v>158</v>
      </c>
      <c r="E17" s="23">
        <v>171283</v>
      </c>
      <c r="F17" s="24">
        <v>4.5</v>
      </c>
      <c r="G17" s="25">
        <f>E17*F17+0.5</f>
        <v>770774</v>
      </c>
      <c r="H17" s="26">
        <v>800000</v>
      </c>
      <c r="I17" s="26">
        <f>(50000*2)+60000+60000</f>
        <v>220000</v>
      </c>
      <c r="J17" s="26"/>
    </row>
    <row r="18" spans="1:10" s="28" customFormat="1" ht="100.5" customHeight="1" x14ac:dyDescent="0.25">
      <c r="A18" s="21" t="s">
        <v>42</v>
      </c>
      <c r="B18" s="22" t="s">
        <v>164</v>
      </c>
      <c r="C18" s="22" t="s">
        <v>165</v>
      </c>
      <c r="D18" s="22" t="s">
        <v>166</v>
      </c>
      <c r="E18" s="23">
        <v>228866</v>
      </c>
      <c r="F18" s="24">
        <v>4.5</v>
      </c>
      <c r="G18" s="25">
        <f t="shared" si="0"/>
        <v>1029897</v>
      </c>
      <c r="H18" s="26">
        <v>800000</v>
      </c>
      <c r="I18" s="26">
        <v>60000</v>
      </c>
      <c r="J18" s="26"/>
    </row>
    <row r="19" spans="1:10" s="28" customFormat="1" ht="100.5" customHeight="1" x14ac:dyDescent="0.25">
      <c r="A19" s="21" t="s">
        <v>42</v>
      </c>
      <c r="B19" s="22" t="s">
        <v>167</v>
      </c>
      <c r="C19" s="22" t="s">
        <v>168</v>
      </c>
      <c r="D19" s="22" t="s">
        <v>169</v>
      </c>
      <c r="E19" s="23">
        <v>171283</v>
      </c>
      <c r="F19" s="24">
        <v>4.5</v>
      </c>
      <c r="G19" s="25">
        <f>E19*F19+0.5</f>
        <v>770774</v>
      </c>
      <c r="H19" s="26">
        <v>800000</v>
      </c>
      <c r="I19" s="26">
        <f>(15000*2)+60000</f>
        <v>90000</v>
      </c>
      <c r="J19" s="26"/>
    </row>
    <row r="20" spans="1:10" s="28" customFormat="1" ht="100.5" customHeight="1" x14ac:dyDescent="0.25">
      <c r="A20" s="21" t="s">
        <v>42</v>
      </c>
      <c r="B20" s="22" t="s">
        <v>167</v>
      </c>
      <c r="C20" s="22" t="s">
        <v>170</v>
      </c>
      <c r="D20" s="22" t="s">
        <v>169</v>
      </c>
      <c r="E20" s="26"/>
      <c r="F20" s="29"/>
      <c r="G20" s="30">
        <f t="shared" si="0"/>
        <v>0</v>
      </c>
      <c r="H20" s="26"/>
      <c r="I20" s="26">
        <f>15000*2</f>
        <v>30000</v>
      </c>
      <c r="J20" s="26"/>
    </row>
    <row r="21" spans="1:10" s="28" customFormat="1" ht="100.5" customHeight="1" x14ac:dyDescent="0.25">
      <c r="A21" s="21"/>
      <c r="B21" s="22"/>
      <c r="C21" s="22"/>
      <c r="D21" s="22"/>
      <c r="E21" s="31">
        <f>SUBTOTAL(109,E2:E20)</f>
        <v>1656713</v>
      </c>
      <c r="F21" s="32"/>
      <c r="G21" s="33">
        <f>SUBTOTAL(109,G2:G20)</f>
        <v>7455212</v>
      </c>
      <c r="H21" s="31">
        <f>SUBTOTAL(109,H2:H20)</f>
        <v>5600000</v>
      </c>
      <c r="I21" s="31">
        <f>SUBTOTAL(109,I2:I20)</f>
        <v>1450000</v>
      </c>
      <c r="J21" s="26"/>
    </row>
    <row r="22" spans="1:10" s="28" customFormat="1" ht="78" customHeight="1" x14ac:dyDescent="0.25">
      <c r="A22" s="21" t="s">
        <v>116</v>
      </c>
      <c r="B22" s="22" t="s">
        <v>167</v>
      </c>
      <c r="C22" s="22" t="s">
        <v>171</v>
      </c>
      <c r="D22" s="22" t="s">
        <v>172</v>
      </c>
      <c r="E22" s="26">
        <v>228866</v>
      </c>
      <c r="F22" s="29">
        <v>4.5</v>
      </c>
      <c r="G22" s="34">
        <f t="shared" ref="G22:G23" si="1">E22*F22</f>
        <v>1029897</v>
      </c>
      <c r="H22" s="26">
        <v>800000</v>
      </c>
      <c r="I22" s="26">
        <f>60000+60000</f>
        <v>120000</v>
      </c>
      <c r="J22" s="26"/>
    </row>
    <row r="23" spans="1:10" s="28" customFormat="1" ht="78" customHeight="1" x14ac:dyDescent="0.25">
      <c r="A23" s="21" t="s">
        <v>116</v>
      </c>
      <c r="B23" s="35" t="s">
        <v>173</v>
      </c>
      <c r="C23" s="35" t="s">
        <v>174</v>
      </c>
      <c r="D23" s="35" t="s">
        <v>172</v>
      </c>
      <c r="E23" s="36">
        <v>228866</v>
      </c>
      <c r="F23" s="37">
        <v>4.5</v>
      </c>
      <c r="G23" s="38">
        <f t="shared" si="1"/>
        <v>1029897</v>
      </c>
      <c r="H23" s="36"/>
      <c r="I23" s="36">
        <f>60000*2</f>
        <v>120000</v>
      </c>
      <c r="J23" s="26"/>
    </row>
    <row r="24" spans="1:10" s="28" customFormat="1" ht="78" customHeight="1" x14ac:dyDescent="0.25">
      <c r="A24" s="21" t="s">
        <v>116</v>
      </c>
      <c r="B24" s="35" t="s">
        <v>175</v>
      </c>
      <c r="C24" s="35" t="s">
        <v>176</v>
      </c>
      <c r="D24" s="35" t="s">
        <v>177</v>
      </c>
      <c r="E24" s="36">
        <v>258320</v>
      </c>
      <c r="F24" s="37">
        <v>4.5</v>
      </c>
      <c r="G24" s="38">
        <f>+E24*F24</f>
        <v>1162440</v>
      </c>
      <c r="H24" s="36">
        <v>800000</v>
      </c>
      <c r="I24" s="36">
        <v>60000</v>
      </c>
      <c r="J24" s="26"/>
    </row>
    <row r="25" spans="1:10" s="28" customFormat="1" ht="78" customHeight="1" x14ac:dyDescent="0.25">
      <c r="A25" s="21" t="s">
        <v>116</v>
      </c>
      <c r="B25" s="35" t="s">
        <v>178</v>
      </c>
      <c r="C25" s="35" t="s">
        <v>179</v>
      </c>
      <c r="D25" s="35" t="s">
        <v>177</v>
      </c>
      <c r="E25" s="36">
        <v>258320</v>
      </c>
      <c r="F25" s="37">
        <v>4.5</v>
      </c>
      <c r="G25" s="38">
        <f>+E25*F25</f>
        <v>1162440</v>
      </c>
      <c r="H25" s="36">
        <v>800000</v>
      </c>
      <c r="I25" s="36">
        <v>60000</v>
      </c>
      <c r="J25" s="26"/>
    </row>
    <row r="26" spans="1:10" s="28" customFormat="1" ht="78" customHeight="1" x14ac:dyDescent="0.25">
      <c r="A26" s="21" t="s">
        <v>116</v>
      </c>
      <c r="B26" s="22" t="s">
        <v>180</v>
      </c>
      <c r="C26" s="22" t="s">
        <v>181</v>
      </c>
      <c r="D26" s="22" t="s">
        <v>172</v>
      </c>
      <c r="E26" s="26">
        <v>228866</v>
      </c>
      <c r="F26" s="29">
        <v>4.5</v>
      </c>
      <c r="G26" s="34">
        <f t="shared" ref="G26" si="2">E26*F26</f>
        <v>1029897</v>
      </c>
      <c r="H26" s="26">
        <v>800000</v>
      </c>
      <c r="I26" s="26">
        <v>60000</v>
      </c>
      <c r="J26" s="26"/>
    </row>
    <row r="27" spans="1:10" s="28" customFormat="1" ht="78" customHeight="1" x14ac:dyDescent="0.25">
      <c r="A27" s="21" t="s">
        <v>116</v>
      </c>
      <c r="B27" s="22" t="s">
        <v>182</v>
      </c>
      <c r="C27" s="22" t="s">
        <v>183</v>
      </c>
      <c r="D27" s="22" t="s">
        <v>177</v>
      </c>
      <c r="E27" s="26">
        <v>258320</v>
      </c>
      <c r="F27" s="29">
        <v>4.5</v>
      </c>
      <c r="G27" s="34">
        <f>+E27*F27</f>
        <v>1162440</v>
      </c>
      <c r="H27" s="26">
        <v>800000</v>
      </c>
      <c r="I27" s="26">
        <f>(60000*2)+60000</f>
        <v>180000</v>
      </c>
      <c r="J27" s="26"/>
    </row>
    <row r="28" spans="1:10" s="28" customFormat="1" ht="78" customHeight="1" x14ac:dyDescent="0.25">
      <c r="A28" s="21" t="s">
        <v>116</v>
      </c>
      <c r="B28" s="22" t="s">
        <v>124</v>
      </c>
      <c r="C28" s="22" t="s">
        <v>184</v>
      </c>
      <c r="D28" s="22" t="s">
        <v>185</v>
      </c>
      <c r="E28" s="26">
        <v>228866</v>
      </c>
      <c r="F28" s="29">
        <v>4.5</v>
      </c>
      <c r="G28" s="34">
        <f t="shared" ref="G28:G30" si="3">E28*F28</f>
        <v>1029897</v>
      </c>
      <c r="H28" s="26"/>
      <c r="I28" s="26">
        <f>70000*2</f>
        <v>140000</v>
      </c>
      <c r="J28" s="26"/>
    </row>
    <row r="29" spans="1:10" s="28" customFormat="1" ht="78" customHeight="1" x14ac:dyDescent="0.25">
      <c r="A29" s="21" t="s">
        <v>116</v>
      </c>
      <c r="B29" s="22" t="s">
        <v>164</v>
      </c>
      <c r="C29" s="22" t="s">
        <v>186</v>
      </c>
      <c r="D29" s="22" t="s">
        <v>185</v>
      </c>
      <c r="E29" s="26">
        <v>228866</v>
      </c>
      <c r="F29" s="29">
        <v>4.5</v>
      </c>
      <c r="G29" s="34">
        <f t="shared" si="3"/>
        <v>1029897</v>
      </c>
      <c r="H29" s="26">
        <v>800000</v>
      </c>
      <c r="I29" s="26">
        <f>60000+90000</f>
        <v>150000</v>
      </c>
      <c r="J29" s="26"/>
    </row>
    <row r="30" spans="1:10" s="28" customFormat="1" ht="78" customHeight="1" x14ac:dyDescent="0.25">
      <c r="A30" s="21" t="s">
        <v>116</v>
      </c>
      <c r="B30" s="22" t="s">
        <v>187</v>
      </c>
      <c r="C30" s="22" t="s">
        <v>188</v>
      </c>
      <c r="D30" s="22" t="s">
        <v>113</v>
      </c>
      <c r="E30" s="26">
        <v>228866</v>
      </c>
      <c r="F30" s="29">
        <v>4.5</v>
      </c>
      <c r="G30" s="34">
        <f t="shared" si="3"/>
        <v>1029897</v>
      </c>
      <c r="H30" s="26">
        <v>800000</v>
      </c>
      <c r="I30" s="26">
        <v>60000</v>
      </c>
      <c r="J30" s="26"/>
    </row>
    <row r="31" spans="1:10" s="28" customFormat="1" ht="78" customHeight="1" x14ac:dyDescent="0.25">
      <c r="A31" s="21" t="s">
        <v>116</v>
      </c>
      <c r="B31" s="22" t="s">
        <v>189</v>
      </c>
      <c r="C31" s="22" t="s">
        <v>189</v>
      </c>
      <c r="D31" s="22" t="s">
        <v>63</v>
      </c>
      <c r="E31" s="26">
        <v>258320</v>
      </c>
      <c r="F31" s="29">
        <v>4.5</v>
      </c>
      <c r="G31" s="34">
        <f>+E31*F31</f>
        <v>1162440</v>
      </c>
      <c r="H31" s="26">
        <v>800000</v>
      </c>
      <c r="I31" s="26">
        <v>60000</v>
      </c>
      <c r="J31" s="26"/>
    </row>
    <row r="32" spans="1:10" s="28" customFormat="1" ht="78" customHeight="1" x14ac:dyDescent="0.25">
      <c r="A32" s="39"/>
      <c r="B32" s="40"/>
      <c r="C32" s="40"/>
      <c r="D32" s="40"/>
      <c r="E32" s="41"/>
      <c r="F32" s="42"/>
      <c r="G32" s="43">
        <f>SUBTOTAL(109,G22:G31)</f>
        <v>10829142</v>
      </c>
      <c r="H32" s="41">
        <f>SUBTOTAL(109,H22:H31)</f>
        <v>6400000</v>
      </c>
      <c r="I32" s="41">
        <f>SUM(I22:I31)</f>
        <v>1010000</v>
      </c>
      <c r="J32" s="26"/>
    </row>
    <row r="33" spans="1:10" s="28" customFormat="1" ht="78" customHeight="1" x14ac:dyDescent="0.25">
      <c r="A33" s="21" t="s">
        <v>61</v>
      </c>
      <c r="B33" s="22" t="s">
        <v>190</v>
      </c>
      <c r="C33" s="22" t="s">
        <v>191</v>
      </c>
      <c r="D33" s="22" t="s">
        <v>192</v>
      </c>
      <c r="E33" s="26">
        <v>228866</v>
      </c>
      <c r="F33" s="29" t="s">
        <v>193</v>
      </c>
      <c r="G33" s="34">
        <v>801031</v>
      </c>
      <c r="H33" s="26">
        <v>800000</v>
      </c>
      <c r="I33" s="26">
        <v>60000</v>
      </c>
      <c r="J33" s="26"/>
    </row>
    <row r="34" spans="1:10" s="28" customFormat="1" ht="78" customHeight="1" x14ac:dyDescent="0.25">
      <c r="A34" s="21" t="s">
        <v>61</v>
      </c>
      <c r="B34" s="22" t="s">
        <v>194</v>
      </c>
      <c r="C34" s="22" t="s">
        <v>195</v>
      </c>
      <c r="D34" s="22" t="s">
        <v>63</v>
      </c>
      <c r="E34" s="26">
        <v>258320</v>
      </c>
      <c r="F34" s="29" t="s">
        <v>193</v>
      </c>
      <c r="G34" s="34">
        <v>904120</v>
      </c>
      <c r="H34" s="26">
        <v>800000</v>
      </c>
      <c r="I34" s="26">
        <v>60000</v>
      </c>
      <c r="J34" s="26"/>
    </row>
    <row r="35" spans="1:10" s="28" customFormat="1" ht="78" customHeight="1" x14ac:dyDescent="0.25">
      <c r="A35" s="21" t="s">
        <v>61</v>
      </c>
      <c r="B35" s="22" t="s">
        <v>196</v>
      </c>
      <c r="C35" s="22" t="s">
        <v>197</v>
      </c>
      <c r="D35" s="22" t="s">
        <v>63</v>
      </c>
      <c r="E35" s="26">
        <v>258320</v>
      </c>
      <c r="F35" s="29" t="s">
        <v>193</v>
      </c>
      <c r="G35" s="34">
        <v>904120</v>
      </c>
      <c r="H35" s="26">
        <v>800000</v>
      </c>
      <c r="I35" s="26">
        <v>60000</v>
      </c>
      <c r="J35" s="26"/>
    </row>
    <row r="36" spans="1:10" s="28" customFormat="1" ht="78" customHeight="1" x14ac:dyDescent="0.25">
      <c r="A36" s="21" t="s">
        <v>61</v>
      </c>
      <c r="B36" s="22" t="s">
        <v>198</v>
      </c>
      <c r="C36" s="22" t="s">
        <v>199</v>
      </c>
      <c r="D36" s="22" t="s">
        <v>192</v>
      </c>
      <c r="E36" s="26">
        <v>228866</v>
      </c>
      <c r="F36" s="29" t="s">
        <v>193</v>
      </c>
      <c r="G36" s="34">
        <v>801031</v>
      </c>
      <c r="H36" s="26">
        <v>800000</v>
      </c>
      <c r="I36" s="26">
        <f>60000+70000</f>
        <v>130000</v>
      </c>
      <c r="J36" s="26"/>
    </row>
    <row r="37" spans="1:10" s="28" customFormat="1" ht="78" customHeight="1" x14ac:dyDescent="0.25">
      <c r="A37" s="21" t="s">
        <v>61</v>
      </c>
      <c r="B37" s="22" t="s">
        <v>200</v>
      </c>
      <c r="C37" s="22" t="s">
        <v>201</v>
      </c>
      <c r="D37" s="22" t="s">
        <v>172</v>
      </c>
      <c r="E37" s="26">
        <v>228866</v>
      </c>
      <c r="F37" s="29" t="s">
        <v>193</v>
      </c>
      <c r="G37" s="34">
        <v>801031</v>
      </c>
      <c r="H37" s="26">
        <v>800000</v>
      </c>
      <c r="I37" s="26">
        <v>60000</v>
      </c>
      <c r="J37" s="26"/>
    </row>
    <row r="38" spans="1:10" s="28" customFormat="1" ht="78" customHeight="1" x14ac:dyDescent="0.25">
      <c r="A38" s="39"/>
      <c r="B38" s="40"/>
      <c r="C38" s="40"/>
      <c r="D38" s="40"/>
      <c r="E38" s="41"/>
      <c r="F38" s="42"/>
      <c r="G38" s="43">
        <f>SUBTOTAL(109,G33:G37)</f>
        <v>4211333</v>
      </c>
      <c r="H38" s="43">
        <f t="shared" ref="H38:I38" si="4">SUBTOTAL(109,H33:H37)</f>
        <v>4000000</v>
      </c>
      <c r="I38" s="43">
        <f t="shared" si="4"/>
        <v>370000</v>
      </c>
      <c r="J38" s="41"/>
    </row>
    <row r="39" spans="1:10" s="28" customFormat="1" ht="78" customHeight="1" x14ac:dyDescent="0.25">
      <c r="A39" s="21" t="s">
        <v>109</v>
      </c>
      <c r="B39" s="22" t="s">
        <v>202</v>
      </c>
      <c r="C39" s="22" t="s">
        <v>203</v>
      </c>
      <c r="D39" s="22" t="s">
        <v>204</v>
      </c>
      <c r="E39" s="26">
        <v>258320</v>
      </c>
      <c r="F39" s="29" t="s">
        <v>193</v>
      </c>
      <c r="G39" s="34">
        <v>904120</v>
      </c>
      <c r="H39" s="26">
        <v>800000</v>
      </c>
      <c r="I39" s="26">
        <v>60000</v>
      </c>
      <c r="J39" s="26"/>
    </row>
    <row r="40" spans="1:10" s="28" customFormat="1" ht="78" customHeight="1" x14ac:dyDescent="0.25">
      <c r="A40" s="21" t="s">
        <v>109</v>
      </c>
      <c r="B40" s="22" t="s">
        <v>205</v>
      </c>
      <c r="C40" s="22" t="s">
        <v>206</v>
      </c>
      <c r="D40" s="22" t="s">
        <v>207</v>
      </c>
      <c r="E40" s="26">
        <f t="shared" ref="E40:G40" si="5">E39</f>
        <v>258320</v>
      </c>
      <c r="F40" s="29">
        <v>3.5</v>
      </c>
      <c r="G40" s="34">
        <f t="shared" si="5"/>
        <v>904120</v>
      </c>
      <c r="H40" s="26">
        <v>800000</v>
      </c>
      <c r="I40" s="26">
        <v>60000</v>
      </c>
      <c r="J40" s="26"/>
    </row>
    <row r="41" spans="1:10" s="28" customFormat="1" ht="59.25" customHeight="1" x14ac:dyDescent="0.25">
      <c r="A41" s="39" t="s">
        <v>471</v>
      </c>
      <c r="B41" s="40"/>
      <c r="C41" s="40"/>
      <c r="D41" s="40"/>
      <c r="E41" s="41"/>
      <c r="F41" s="42"/>
      <c r="G41" s="43">
        <f>+G39+G40</f>
        <v>1808240</v>
      </c>
      <c r="H41" s="43">
        <f t="shared" ref="H41:I41" si="6">+H39+H40</f>
        <v>1600000</v>
      </c>
      <c r="I41" s="43">
        <f t="shared" si="6"/>
        <v>120000</v>
      </c>
      <c r="J41" s="26"/>
    </row>
    <row r="42" spans="1:10" s="44" customFormat="1" ht="107.25" customHeight="1" x14ac:dyDescent="0.3">
      <c r="A42" s="195" t="s">
        <v>109</v>
      </c>
      <c r="B42" s="196"/>
      <c r="C42" s="196"/>
      <c r="D42" s="196" t="s">
        <v>136</v>
      </c>
      <c r="E42" s="197">
        <v>180053</v>
      </c>
      <c r="F42" s="198">
        <v>4.5</v>
      </c>
      <c r="G42" s="199">
        <f>+Tabla2[[#This Row],[Viáticos]]*Tabla2[[#This Row],['# días]]</f>
        <v>810238.5</v>
      </c>
      <c r="H42" s="197">
        <v>800000</v>
      </c>
      <c r="I42" s="197">
        <v>80000</v>
      </c>
      <c r="J42" s="26" t="s">
        <v>469</v>
      </c>
    </row>
    <row r="43" spans="1:10" s="28" customFormat="1" ht="85.5" customHeight="1" x14ac:dyDescent="0.25">
      <c r="A43" s="195" t="s">
        <v>109</v>
      </c>
      <c r="B43" s="196"/>
      <c r="C43" s="196"/>
      <c r="D43" s="196" t="s">
        <v>136</v>
      </c>
      <c r="E43" s="197">
        <v>180053</v>
      </c>
      <c r="F43" s="198">
        <v>4.5</v>
      </c>
      <c r="G43" s="199">
        <f>+Tabla2[[#This Row],[Viáticos]]*Tabla2[[#This Row],['# días]]</f>
        <v>810238.5</v>
      </c>
      <c r="H43" s="197">
        <v>800000</v>
      </c>
      <c r="I43" s="197">
        <v>80000</v>
      </c>
      <c r="J43" s="26" t="s">
        <v>469</v>
      </c>
    </row>
    <row r="44" spans="1:10" s="28" customFormat="1" ht="85.5" customHeight="1" x14ac:dyDescent="0.25">
      <c r="A44" s="195" t="s">
        <v>109</v>
      </c>
      <c r="B44" s="196"/>
      <c r="C44" s="196"/>
      <c r="D44" s="196" t="s">
        <v>468</v>
      </c>
      <c r="E44" s="197">
        <v>209511</v>
      </c>
      <c r="F44" s="198">
        <v>4.5</v>
      </c>
      <c r="G44" s="199">
        <f>+Tabla2[[#This Row],[Viáticos]]*Tabla2[[#This Row],['# días]]</f>
        <v>942799.5</v>
      </c>
      <c r="H44" s="197">
        <v>800000</v>
      </c>
      <c r="I44" s="197">
        <v>80000</v>
      </c>
      <c r="J44" s="26" t="s">
        <v>469</v>
      </c>
    </row>
    <row r="45" spans="1:10" s="28" customFormat="1" ht="85.5" customHeight="1" x14ac:dyDescent="0.25">
      <c r="A45" s="195" t="s">
        <v>109</v>
      </c>
      <c r="B45" s="196"/>
      <c r="C45" s="196"/>
      <c r="D45" s="196" t="s">
        <v>468</v>
      </c>
      <c r="E45" s="197">
        <v>209511</v>
      </c>
      <c r="F45" s="198">
        <v>4.5</v>
      </c>
      <c r="G45" s="199">
        <f>+Tabla2[[#This Row],[Viáticos]]*Tabla2[[#This Row],['# días]]</f>
        <v>942799.5</v>
      </c>
      <c r="H45" s="197">
        <v>800000</v>
      </c>
      <c r="I45" s="197">
        <v>80000</v>
      </c>
      <c r="J45" s="26" t="s">
        <v>469</v>
      </c>
    </row>
    <row r="46" spans="1:10" s="44" customFormat="1" ht="81" customHeight="1" x14ac:dyDescent="0.3">
      <c r="A46" s="195"/>
      <c r="B46" s="196"/>
      <c r="C46" s="196"/>
      <c r="D46" s="196"/>
      <c r="E46" s="197"/>
      <c r="F46" s="198"/>
      <c r="G46" s="199">
        <f>+G42+G43+G44+G45</f>
        <v>3506076</v>
      </c>
      <c r="H46" s="197">
        <f>+H43+H44+H45</f>
        <v>2400000</v>
      </c>
      <c r="I46" s="197">
        <f>+I43+I44+I45</f>
        <v>240000</v>
      </c>
      <c r="J46" s="26" t="s">
        <v>469</v>
      </c>
    </row>
    <row r="47" spans="1:10" s="45" customFormat="1" ht="78.75" customHeight="1" x14ac:dyDescent="0.3">
      <c r="A47" s="200" t="s">
        <v>470</v>
      </c>
      <c r="B47" s="201"/>
      <c r="C47" s="201"/>
      <c r="D47" s="201"/>
      <c r="E47" s="202"/>
      <c r="F47" s="203"/>
      <c r="G47" s="204">
        <f>+G46+G41</f>
        <v>5314316</v>
      </c>
      <c r="H47" s="202">
        <f>+H46+H41</f>
        <v>4000000</v>
      </c>
      <c r="I47" s="202">
        <f>+I46+I41</f>
        <v>360000</v>
      </c>
      <c r="J47" s="202"/>
    </row>
    <row r="48" spans="1:10" s="45" customFormat="1" ht="87.75" customHeight="1" x14ac:dyDescent="0.3">
      <c r="A48" s="21"/>
      <c r="B48" s="22"/>
      <c r="C48" s="22"/>
      <c r="D48" s="22"/>
      <c r="E48" s="26"/>
      <c r="F48" s="29"/>
      <c r="G48" s="34">
        <f>+Tabla2[[#This Row],[Viáticos]]*Tabla2[[#This Row],['# días]]</f>
        <v>0</v>
      </c>
      <c r="H48" s="26"/>
      <c r="I48" s="26"/>
      <c r="J48" s="26"/>
    </row>
    <row r="49" spans="1:10" s="28" customFormat="1" ht="87" customHeight="1" x14ac:dyDescent="0.25">
      <c r="A49" s="21"/>
      <c r="B49" s="22"/>
      <c r="C49" s="22"/>
      <c r="D49" s="22"/>
      <c r="E49" s="26"/>
      <c r="F49" s="29"/>
      <c r="G49" s="34">
        <f>+Tabla2[[#This Row],[Viáticos]]*Tabla2[[#This Row],['# días]]</f>
        <v>0</v>
      </c>
      <c r="H49" s="26"/>
      <c r="I49" s="26"/>
      <c r="J49" s="26"/>
    </row>
    <row r="50" spans="1:10" s="28" customFormat="1" ht="59.25" customHeight="1" x14ac:dyDescent="0.25">
      <c r="A50" s="21"/>
      <c r="B50" s="22"/>
      <c r="C50" s="22"/>
      <c r="D50" s="22"/>
      <c r="E50" s="26"/>
      <c r="F50" s="29"/>
      <c r="G50" s="34">
        <f>+Tabla2[[#This Row],[Viáticos]]*Tabla2[[#This Row],['# días]]</f>
        <v>0</v>
      </c>
      <c r="H50" s="26"/>
      <c r="I50" s="26"/>
      <c r="J50" s="26"/>
    </row>
    <row r="51" spans="1:10" s="28" customFormat="1" ht="78" customHeight="1" x14ac:dyDescent="0.25">
      <c r="A51" s="21"/>
      <c r="B51" s="22"/>
      <c r="C51" s="22"/>
      <c r="D51" s="22"/>
      <c r="E51" s="26"/>
      <c r="F51" s="29"/>
      <c r="G51" s="34">
        <f>+Tabla2[[#This Row],[Viáticos]]*Tabla2[[#This Row],['# días]]</f>
        <v>0</v>
      </c>
      <c r="H51" s="26"/>
      <c r="I51" s="26"/>
      <c r="J51" s="26"/>
    </row>
    <row r="52" spans="1:10" s="28" customFormat="1" ht="78" customHeight="1" x14ac:dyDescent="0.25">
      <c r="A52" s="21"/>
      <c r="B52" s="22"/>
      <c r="C52" s="22"/>
      <c r="D52" s="22"/>
      <c r="E52" s="26"/>
      <c r="F52" s="29"/>
      <c r="G52" s="34">
        <f>+Tabla2[[#This Row],[Viáticos]]*Tabla2[[#This Row],['# días]]</f>
        <v>0</v>
      </c>
      <c r="H52" s="26"/>
      <c r="I52" s="26"/>
      <c r="J52" s="26"/>
    </row>
    <row r="53" spans="1:10" s="28" customFormat="1" ht="78" customHeight="1" x14ac:dyDescent="0.25">
      <c r="A53" s="21"/>
      <c r="B53" s="22"/>
      <c r="C53" s="22"/>
      <c r="D53" s="22"/>
      <c r="E53" s="26"/>
      <c r="F53" s="29"/>
      <c r="G53" s="34">
        <f>+Tabla2[[#This Row],[Viáticos]]*Tabla2[[#This Row],['# días]]</f>
        <v>0</v>
      </c>
      <c r="H53" s="26"/>
      <c r="I53" s="26"/>
      <c r="J53" s="26"/>
    </row>
    <row r="54" spans="1:10" s="28" customFormat="1" ht="90" customHeight="1" x14ac:dyDescent="0.25">
      <c r="A54" s="21"/>
      <c r="B54" s="22"/>
      <c r="C54" s="22"/>
      <c r="D54" s="22"/>
      <c r="E54" s="26"/>
      <c r="F54" s="29"/>
      <c r="G54" s="34">
        <f>+Tabla2[[#This Row],[Viáticos]]*Tabla2[[#This Row],['# días]]</f>
        <v>0</v>
      </c>
      <c r="H54" s="26"/>
      <c r="I54" s="26"/>
      <c r="J54" s="26"/>
    </row>
    <row r="55" spans="1:10" s="28" customFormat="1" ht="87" customHeight="1" x14ac:dyDescent="0.25">
      <c r="A55" s="21"/>
      <c r="B55" s="22"/>
      <c r="C55" s="22"/>
      <c r="D55" s="22"/>
      <c r="E55" s="26"/>
      <c r="F55" s="29"/>
      <c r="G55" s="34">
        <f>+Tabla2[[#This Row],[Viáticos]]*Tabla2[[#This Row],['# días]]</f>
        <v>0</v>
      </c>
      <c r="H55" s="26"/>
      <c r="I55" s="26"/>
      <c r="J55" s="26"/>
    </row>
    <row r="56" spans="1:10" s="28" customFormat="1" ht="75.75" customHeight="1" x14ac:dyDescent="0.25">
      <c r="A56" s="21"/>
      <c r="B56" s="22"/>
      <c r="C56" s="22"/>
      <c r="D56" s="22"/>
      <c r="E56" s="26"/>
      <c r="F56" s="29"/>
      <c r="G56" s="34">
        <f>+Tabla2[[#This Row],[Viáticos]]*Tabla2[[#This Row],['# días]]</f>
        <v>0</v>
      </c>
      <c r="H56" s="26"/>
      <c r="I56" s="26"/>
      <c r="J56" s="26"/>
    </row>
    <row r="57" spans="1:10" s="28" customFormat="1" ht="81.75" customHeight="1" x14ac:dyDescent="0.25">
      <c r="A57" s="21"/>
      <c r="B57" s="22"/>
      <c r="C57" s="22"/>
      <c r="D57" s="22"/>
      <c r="E57" s="26"/>
      <c r="F57" s="29"/>
      <c r="G57" s="34">
        <f>+Tabla2[[#This Row],[Viáticos]]*Tabla2[[#This Row],['# días]]</f>
        <v>0</v>
      </c>
      <c r="H57" s="26"/>
      <c r="I57" s="26"/>
      <c r="J57" s="26"/>
    </row>
    <row r="58" spans="1:10" s="28" customFormat="1" ht="99.75" customHeight="1" x14ac:dyDescent="0.25">
      <c r="A58" s="21"/>
      <c r="B58" s="22"/>
      <c r="C58" s="22"/>
      <c r="D58" s="22"/>
      <c r="E58" s="26"/>
      <c r="F58" s="29"/>
      <c r="G58" s="34">
        <f>+Tabla2[[#This Row],[Viáticos]]*Tabla2[[#This Row],['# días]]</f>
        <v>0</v>
      </c>
      <c r="H58" s="26"/>
      <c r="I58" s="26"/>
      <c r="J58" s="26"/>
    </row>
    <row r="59" spans="1:10" s="28" customFormat="1" ht="101.25" customHeight="1" x14ac:dyDescent="0.25">
      <c r="A59" s="21"/>
      <c r="B59" s="22"/>
      <c r="C59" s="22"/>
      <c r="D59" s="22"/>
      <c r="E59" s="26"/>
      <c r="F59" s="29"/>
      <c r="G59" s="34">
        <f>+Tabla2[[#This Row],[Viáticos]]*Tabla2[[#This Row],['# días]]</f>
        <v>0</v>
      </c>
      <c r="H59" s="26"/>
      <c r="I59" s="26"/>
      <c r="J59" s="26"/>
    </row>
    <row r="60" spans="1:10" s="28" customFormat="1" ht="75" customHeight="1" x14ac:dyDescent="0.25">
      <c r="A60" s="21"/>
      <c r="B60" s="22"/>
      <c r="C60" s="22"/>
      <c r="D60" s="22"/>
      <c r="E60" s="26"/>
      <c r="F60" s="29"/>
      <c r="G60" s="34">
        <f>+Tabla2[[#This Row],[Viáticos]]*Tabla2[[#This Row],['# días]]</f>
        <v>0</v>
      </c>
      <c r="H60" s="26"/>
      <c r="I60" s="26"/>
      <c r="J60" s="26"/>
    </row>
    <row r="61" spans="1:10" s="46" customFormat="1" ht="90.75" customHeight="1" x14ac:dyDescent="0.3">
      <c r="A61" s="21"/>
      <c r="B61" s="22"/>
      <c r="C61" s="22"/>
      <c r="D61" s="22"/>
      <c r="E61" s="26"/>
      <c r="F61" s="29"/>
      <c r="G61" s="34">
        <f>+Tabla2[[#This Row],[Viáticos]]*Tabla2[[#This Row],['# días]]</f>
        <v>0</v>
      </c>
      <c r="H61" s="26"/>
      <c r="I61" s="26"/>
      <c r="J61" s="26"/>
    </row>
    <row r="62" spans="1:10" s="28" customFormat="1" ht="90.75" customHeight="1" x14ac:dyDescent="0.25">
      <c r="A62" s="21"/>
      <c r="B62" s="22"/>
      <c r="C62" s="22"/>
      <c r="D62" s="22"/>
      <c r="E62" s="26"/>
      <c r="F62" s="29"/>
      <c r="G62" s="34">
        <f>+Tabla2[[#This Row],[Viáticos]]*Tabla2[[#This Row],['# días]]</f>
        <v>0</v>
      </c>
      <c r="H62" s="26"/>
      <c r="I62" s="26"/>
      <c r="J62" s="26"/>
    </row>
    <row r="63" spans="1:10" s="28" customFormat="1" ht="90.75" customHeight="1" x14ac:dyDescent="0.25">
      <c r="A63" s="21"/>
      <c r="B63" s="22"/>
      <c r="C63" s="22"/>
      <c r="D63" s="22"/>
      <c r="E63" s="26"/>
      <c r="F63" s="29"/>
      <c r="G63" s="34">
        <f>+Tabla2[[#This Row],[Viáticos]]*Tabla2[[#This Row],['# días]]</f>
        <v>0</v>
      </c>
      <c r="H63" s="26"/>
      <c r="I63" s="26"/>
      <c r="J63" s="26"/>
    </row>
    <row r="64" spans="1:10" s="28" customFormat="1" ht="90.75" customHeight="1" x14ac:dyDescent="0.25">
      <c r="A64" s="21"/>
      <c r="B64" s="22"/>
      <c r="C64" s="22"/>
      <c r="D64" s="22"/>
      <c r="E64" s="26"/>
      <c r="F64" s="29"/>
      <c r="G64" s="34">
        <f>+Tabla2[[#This Row],[Viáticos]]*Tabla2[[#This Row],['# días]]</f>
        <v>0</v>
      </c>
      <c r="H64" s="26"/>
      <c r="I64" s="26"/>
      <c r="J64" s="26"/>
    </row>
    <row r="65" spans="1:10" s="28" customFormat="1" ht="72.75" customHeight="1" x14ac:dyDescent="0.25">
      <c r="A65" s="21"/>
      <c r="B65" s="22"/>
      <c r="C65" s="22"/>
      <c r="D65" s="22"/>
      <c r="E65" s="26"/>
      <c r="F65" s="29"/>
      <c r="G65" s="34">
        <f>+Tabla2[[#This Row],[Viáticos]]*Tabla2[[#This Row],['# días]]</f>
        <v>0</v>
      </c>
      <c r="H65" s="26"/>
      <c r="I65" s="26"/>
      <c r="J65" s="26"/>
    </row>
    <row r="66" spans="1:10" s="28" customFormat="1" ht="90.75" customHeight="1" x14ac:dyDescent="0.25">
      <c r="A66" s="21"/>
      <c r="B66" s="22"/>
      <c r="C66" s="22"/>
      <c r="D66" s="22"/>
      <c r="E66" s="26"/>
      <c r="F66" s="29"/>
      <c r="G66" s="34">
        <f>+Tabla2[[#This Row],[Viáticos]]*Tabla2[[#This Row],['# días]]</f>
        <v>0</v>
      </c>
      <c r="H66" s="26"/>
      <c r="I66" s="26"/>
      <c r="J66" s="26"/>
    </row>
    <row r="67" spans="1:10" s="28" customFormat="1" ht="94.5" customHeight="1" x14ac:dyDescent="0.25">
      <c r="A67" s="21"/>
      <c r="B67" s="22"/>
      <c r="C67" s="22"/>
      <c r="D67" s="22"/>
      <c r="E67" s="26"/>
      <c r="F67" s="29"/>
      <c r="G67" s="34">
        <f>+Tabla2[[#This Row],[Viáticos]]*Tabla2[[#This Row],['# días]]</f>
        <v>0</v>
      </c>
      <c r="H67" s="26"/>
      <c r="I67" s="26"/>
      <c r="J67" s="26"/>
    </row>
    <row r="68" spans="1:10" s="28" customFormat="1" ht="88.5" customHeight="1" x14ac:dyDescent="0.25">
      <c r="A68" s="21"/>
      <c r="B68" s="22"/>
      <c r="C68" s="22"/>
      <c r="D68" s="22"/>
      <c r="E68" s="26"/>
      <c r="F68" s="29"/>
      <c r="G68" s="34">
        <f>+Tabla2[[#This Row],[Viáticos]]*Tabla2[[#This Row],['# días]]</f>
        <v>0</v>
      </c>
      <c r="H68" s="26"/>
      <c r="I68" s="26"/>
      <c r="J68" s="26"/>
    </row>
    <row r="69" spans="1:10" s="28" customFormat="1" ht="79.5" customHeight="1" x14ac:dyDescent="0.25">
      <c r="A69" s="21"/>
      <c r="B69" s="22"/>
      <c r="C69" s="22"/>
      <c r="D69" s="22"/>
      <c r="E69" s="26"/>
      <c r="F69" s="29"/>
      <c r="G69" s="34">
        <f>+Tabla2[[#This Row],[Viáticos]]*Tabla2[[#This Row],['# días]]</f>
        <v>0</v>
      </c>
      <c r="H69" s="26"/>
      <c r="I69" s="26"/>
      <c r="J69" s="26"/>
    </row>
    <row r="70" spans="1:10" s="28" customFormat="1" ht="114.75" customHeight="1" x14ac:dyDescent="0.25">
      <c r="A70" s="21"/>
      <c r="B70" s="22"/>
      <c r="C70" s="22"/>
      <c r="D70" s="22"/>
      <c r="E70" s="26"/>
      <c r="F70" s="29"/>
      <c r="G70" s="34">
        <f>+Tabla2[[#This Row],[Viáticos]]*Tabla2[[#This Row],['# días]]</f>
        <v>0</v>
      </c>
      <c r="H70" s="26"/>
      <c r="I70" s="26"/>
      <c r="J70" s="26"/>
    </row>
    <row r="71" spans="1:10" s="28" customFormat="1" ht="93.75" customHeight="1" x14ac:dyDescent="0.25">
      <c r="A71" s="21"/>
      <c r="B71" s="22"/>
      <c r="C71" s="22"/>
      <c r="D71" s="22"/>
      <c r="E71" s="26"/>
      <c r="F71" s="29"/>
      <c r="G71" s="34">
        <f>+Tabla2[[#This Row],[Viáticos]]*Tabla2[[#This Row],['# días]]</f>
        <v>0</v>
      </c>
      <c r="H71" s="26"/>
      <c r="I71" s="26"/>
      <c r="J71" s="26"/>
    </row>
    <row r="72" spans="1:10" s="28" customFormat="1" ht="99.75" customHeight="1" x14ac:dyDescent="0.25">
      <c r="A72" s="21"/>
      <c r="B72" s="22"/>
      <c r="C72" s="22"/>
      <c r="D72" s="22"/>
      <c r="E72" s="26"/>
      <c r="F72" s="29"/>
      <c r="G72" s="34">
        <f>+Tabla2[[#This Row],[Viáticos]]*Tabla2[[#This Row],['# días]]</f>
        <v>0</v>
      </c>
      <c r="H72" s="26"/>
      <c r="I72" s="26"/>
      <c r="J72" s="26"/>
    </row>
    <row r="73" spans="1:10" s="28" customFormat="1" ht="113.25" customHeight="1" x14ac:dyDescent="0.25">
      <c r="A73" s="21"/>
      <c r="B73" s="22"/>
      <c r="C73" s="22"/>
      <c r="D73" s="22"/>
      <c r="E73" s="26"/>
      <c r="F73" s="29"/>
      <c r="G73" s="34">
        <f>+Tabla2[[#This Row],[Viáticos]]*Tabla2[[#This Row],['# días]]</f>
        <v>0</v>
      </c>
      <c r="H73" s="26"/>
      <c r="I73" s="26"/>
      <c r="J73" s="26"/>
    </row>
    <row r="74" spans="1:10" s="28" customFormat="1" ht="102" customHeight="1" x14ac:dyDescent="0.25">
      <c r="A74" s="21"/>
      <c r="B74" s="22"/>
      <c r="C74" s="22"/>
      <c r="D74" s="22"/>
      <c r="E74" s="26"/>
      <c r="F74" s="29"/>
      <c r="G74" s="34">
        <f>+Tabla2[[#This Row],[Viáticos]]*Tabla2[[#This Row],['# días]]</f>
        <v>0</v>
      </c>
      <c r="H74" s="26"/>
      <c r="I74" s="26"/>
      <c r="J74" s="26"/>
    </row>
    <row r="75" spans="1:10" s="28" customFormat="1" ht="110.25" customHeight="1" x14ac:dyDescent="0.25">
      <c r="A75" s="21"/>
      <c r="B75" s="22"/>
      <c r="C75" s="22"/>
      <c r="D75" s="22"/>
      <c r="E75" s="26"/>
      <c r="F75" s="29"/>
      <c r="G75" s="34">
        <f>+Tabla2[[#This Row],[Viáticos]]*Tabla2[[#This Row],['# días]]</f>
        <v>0</v>
      </c>
      <c r="H75" s="26"/>
      <c r="I75" s="26"/>
      <c r="J75" s="26"/>
    </row>
    <row r="76" spans="1:10" s="28" customFormat="1" ht="138" customHeight="1" x14ac:dyDescent="0.25">
      <c r="A76" s="21"/>
      <c r="B76" s="22"/>
      <c r="C76" s="22"/>
      <c r="D76" s="22"/>
      <c r="E76" s="26"/>
      <c r="F76" s="29"/>
      <c r="G76" s="34">
        <f>+Tabla2[[#This Row],[Viáticos]]*Tabla2[[#This Row],['# días]]</f>
        <v>0</v>
      </c>
      <c r="H76" s="26"/>
      <c r="I76" s="26"/>
      <c r="J76" s="26"/>
    </row>
    <row r="77" spans="1:10" s="28" customFormat="1" ht="100.5" customHeight="1" x14ac:dyDescent="0.25">
      <c r="A77" s="21"/>
      <c r="B77" s="22"/>
      <c r="C77" s="22"/>
      <c r="D77" s="22"/>
      <c r="E77" s="26"/>
      <c r="F77" s="29"/>
      <c r="G77" s="34">
        <f>+Tabla2[[#This Row],[Viáticos]]*Tabla2[[#This Row],['# días]]</f>
        <v>0</v>
      </c>
      <c r="H77" s="26"/>
      <c r="I77" s="26"/>
      <c r="J77" s="26"/>
    </row>
    <row r="78" spans="1:10" s="28" customFormat="1" ht="104.25" customHeight="1" x14ac:dyDescent="0.25">
      <c r="A78" s="21"/>
      <c r="B78" s="22"/>
      <c r="C78" s="22"/>
      <c r="D78" s="22"/>
      <c r="E78" s="26"/>
      <c r="F78" s="29"/>
      <c r="G78" s="34">
        <f>+Tabla2[[#This Row],[Viáticos]]*Tabla2[[#This Row],['# días]]</f>
        <v>0</v>
      </c>
      <c r="H78" s="26"/>
      <c r="I78" s="26"/>
      <c r="J78" s="26"/>
    </row>
    <row r="79" spans="1:10" s="28" customFormat="1" ht="102" customHeight="1" x14ac:dyDescent="0.25">
      <c r="A79" s="21"/>
      <c r="B79" s="22"/>
      <c r="C79" s="22"/>
      <c r="D79" s="22"/>
      <c r="E79" s="26"/>
      <c r="F79" s="29"/>
      <c r="G79" s="34">
        <f>+Tabla2[[#This Row],[Viáticos]]*Tabla2[[#This Row],['# días]]</f>
        <v>0</v>
      </c>
      <c r="H79" s="26"/>
      <c r="I79" s="26"/>
      <c r="J79" s="26"/>
    </row>
    <row r="80" spans="1:10" s="28" customFormat="1" ht="114" customHeight="1" x14ac:dyDescent="0.25">
      <c r="A80" s="21"/>
      <c r="B80" s="22"/>
      <c r="C80" s="22"/>
      <c r="D80" s="22"/>
      <c r="E80" s="26"/>
      <c r="F80" s="29"/>
      <c r="G80" s="34">
        <f>+Tabla2[[#This Row],[Viáticos]]*Tabla2[[#This Row],['# días]]</f>
        <v>0</v>
      </c>
      <c r="H80" s="26"/>
      <c r="I80" s="26"/>
      <c r="J80" s="26"/>
    </row>
    <row r="81" spans="1:10" s="28" customFormat="1" ht="138" customHeight="1" x14ac:dyDescent="0.25">
      <c r="A81" s="21"/>
      <c r="B81" s="22"/>
      <c r="C81" s="22"/>
      <c r="D81" s="22"/>
      <c r="E81" s="26"/>
      <c r="F81" s="29"/>
      <c r="G81" s="34">
        <f>+Tabla2[[#This Row],[Viáticos]]*Tabla2[[#This Row],['# días]]</f>
        <v>0</v>
      </c>
      <c r="H81" s="26"/>
      <c r="I81" s="26"/>
      <c r="J81" s="26"/>
    </row>
    <row r="82" spans="1:10" s="28" customFormat="1" ht="113.25" customHeight="1" x14ac:dyDescent="0.25">
      <c r="A82" s="21"/>
      <c r="B82" s="22"/>
      <c r="C82" s="22"/>
      <c r="D82" s="22"/>
      <c r="E82" s="26"/>
      <c r="F82" s="29"/>
      <c r="G82" s="34">
        <f>+Tabla2[[#This Row],[Viáticos]]*Tabla2[[#This Row],['# días]]</f>
        <v>0</v>
      </c>
      <c r="H82" s="26"/>
      <c r="I82" s="26"/>
      <c r="J82" s="26"/>
    </row>
    <row r="83" spans="1:10" s="28" customFormat="1" ht="114" customHeight="1" x14ac:dyDescent="0.25">
      <c r="A83" s="21"/>
      <c r="B83" s="22"/>
      <c r="C83" s="22"/>
      <c r="D83" s="22"/>
      <c r="E83" s="26"/>
      <c r="F83" s="29"/>
      <c r="G83" s="34">
        <f>+Tabla2[[#This Row],[Viáticos]]*Tabla2[[#This Row],['# días]]</f>
        <v>0</v>
      </c>
      <c r="H83" s="26"/>
      <c r="I83" s="26"/>
      <c r="J83" s="26"/>
    </row>
    <row r="84" spans="1:10" s="28" customFormat="1" ht="110.25" customHeight="1" x14ac:dyDescent="0.25">
      <c r="A84" s="21"/>
      <c r="B84" s="22"/>
      <c r="C84" s="22"/>
      <c r="D84" s="22"/>
      <c r="E84" s="26"/>
      <c r="F84" s="29"/>
      <c r="G84" s="34">
        <f>+Tabla2[[#This Row],[Viáticos]]*Tabla2[[#This Row],['# días]]</f>
        <v>0</v>
      </c>
      <c r="H84" s="26"/>
      <c r="I84" s="26"/>
      <c r="J84" s="26"/>
    </row>
    <row r="85" spans="1:10" s="28" customFormat="1" ht="110.25" customHeight="1" x14ac:dyDescent="0.25">
      <c r="A85" s="21" t="s">
        <v>42</v>
      </c>
      <c r="B85" s="22" t="s">
        <v>134</v>
      </c>
      <c r="C85" s="22" t="s">
        <v>135</v>
      </c>
      <c r="D85" s="22" t="s">
        <v>136</v>
      </c>
      <c r="E85" s="23">
        <v>171283</v>
      </c>
      <c r="F85" s="24">
        <v>4.5</v>
      </c>
      <c r="G85" s="47">
        <f t="shared" ref="G85:G103" si="7">E85*F85</f>
        <v>770773.5</v>
      </c>
      <c r="H85" s="26">
        <v>800000</v>
      </c>
      <c r="I85" s="26"/>
      <c r="J85" s="26"/>
    </row>
    <row r="86" spans="1:10" s="28" customFormat="1" ht="110.25" customHeight="1" x14ac:dyDescent="0.25">
      <c r="A86" s="21" t="s">
        <v>42</v>
      </c>
      <c r="B86" s="22" t="s">
        <v>134</v>
      </c>
      <c r="C86" s="22" t="s">
        <v>137</v>
      </c>
      <c r="D86" s="22" t="s">
        <v>136</v>
      </c>
      <c r="E86" s="26"/>
      <c r="F86" s="29"/>
      <c r="G86" s="34"/>
      <c r="H86" s="26"/>
      <c r="I86" s="26"/>
      <c r="J86" s="26"/>
    </row>
    <row r="87" spans="1:10" s="28" customFormat="1" ht="114" customHeight="1" x14ac:dyDescent="0.25">
      <c r="A87" s="21" t="s">
        <v>42</v>
      </c>
      <c r="B87" s="22" t="s">
        <v>134</v>
      </c>
      <c r="C87" s="22" t="s">
        <v>138</v>
      </c>
      <c r="D87" s="22" t="s">
        <v>136</v>
      </c>
      <c r="E87" s="26"/>
      <c r="F87" s="29"/>
      <c r="G87" s="34"/>
      <c r="H87" s="26"/>
      <c r="I87" s="26">
        <v>30000</v>
      </c>
      <c r="J87" s="26"/>
    </row>
    <row r="88" spans="1:10" s="28" customFormat="1" ht="117" customHeight="1" x14ac:dyDescent="0.25">
      <c r="A88" s="21" t="s">
        <v>42</v>
      </c>
      <c r="B88" s="22" t="s">
        <v>139</v>
      </c>
      <c r="C88" s="22" t="s">
        <v>140</v>
      </c>
      <c r="D88" s="22" t="s">
        <v>141</v>
      </c>
      <c r="E88" s="23">
        <v>171283</v>
      </c>
      <c r="F88" s="24">
        <v>4.5</v>
      </c>
      <c r="G88" s="47">
        <f t="shared" ref="G88" si="8">E88*F88</f>
        <v>770773.5</v>
      </c>
      <c r="H88" s="26"/>
      <c r="I88" s="26">
        <v>30000</v>
      </c>
      <c r="J88" s="26"/>
    </row>
    <row r="89" spans="1:10" s="28" customFormat="1" ht="105.75" customHeight="1" x14ac:dyDescent="0.25">
      <c r="A89" s="21" t="s">
        <v>42</v>
      </c>
      <c r="B89" s="22" t="s">
        <v>139</v>
      </c>
      <c r="C89" s="22" t="s">
        <v>142</v>
      </c>
      <c r="D89" s="22" t="s">
        <v>141</v>
      </c>
      <c r="E89" s="26"/>
      <c r="F89" s="29"/>
      <c r="G89" s="34">
        <f t="shared" si="7"/>
        <v>0</v>
      </c>
      <c r="H89" s="26"/>
      <c r="I89" s="26">
        <v>40000</v>
      </c>
      <c r="J89" s="26"/>
    </row>
    <row r="90" spans="1:10" s="28" customFormat="1" ht="105.75" customHeight="1" x14ac:dyDescent="0.25">
      <c r="A90" s="21" t="s">
        <v>42</v>
      </c>
      <c r="B90" s="22" t="s">
        <v>139</v>
      </c>
      <c r="C90" s="22" t="s">
        <v>143</v>
      </c>
      <c r="D90" s="22" t="s">
        <v>141</v>
      </c>
      <c r="E90" s="26"/>
      <c r="F90" s="29"/>
      <c r="G90" s="34">
        <f t="shared" si="7"/>
        <v>0</v>
      </c>
      <c r="H90" s="26"/>
      <c r="I90" s="26">
        <v>10000</v>
      </c>
      <c r="J90" s="26"/>
    </row>
    <row r="91" spans="1:10" s="28" customFormat="1" ht="105.75" customHeight="1" x14ac:dyDescent="0.25">
      <c r="A91" s="21" t="s">
        <v>42</v>
      </c>
      <c r="B91" s="22" t="s">
        <v>139</v>
      </c>
      <c r="C91" s="22" t="s">
        <v>144</v>
      </c>
      <c r="D91" s="22" t="s">
        <v>141</v>
      </c>
      <c r="E91" s="26"/>
      <c r="F91" s="29"/>
      <c r="G91" s="34">
        <f t="shared" si="7"/>
        <v>0</v>
      </c>
      <c r="H91" s="26"/>
      <c r="I91" s="26">
        <v>15000</v>
      </c>
      <c r="J91" s="26"/>
    </row>
    <row r="92" spans="1:10" s="28" customFormat="1" ht="106.5" customHeight="1" x14ac:dyDescent="0.25">
      <c r="A92" s="21" t="s">
        <v>42</v>
      </c>
      <c r="B92" s="22" t="s">
        <v>145</v>
      </c>
      <c r="C92" s="22" t="s">
        <v>146</v>
      </c>
      <c r="D92" s="22" t="s">
        <v>147</v>
      </c>
      <c r="E92" s="23">
        <v>228866</v>
      </c>
      <c r="F92" s="24">
        <v>4.5</v>
      </c>
      <c r="G92" s="47">
        <f t="shared" si="7"/>
        <v>1029897</v>
      </c>
      <c r="H92" s="26">
        <v>800000</v>
      </c>
      <c r="I92" s="26">
        <v>40000</v>
      </c>
      <c r="J92" s="26"/>
    </row>
    <row r="93" spans="1:10" s="28" customFormat="1" ht="55.5" customHeight="1" x14ac:dyDescent="0.25">
      <c r="A93" s="21" t="s">
        <v>42</v>
      </c>
      <c r="B93" s="22" t="s">
        <v>145</v>
      </c>
      <c r="C93" s="22" t="s">
        <v>148</v>
      </c>
      <c r="D93" s="22" t="s">
        <v>147</v>
      </c>
      <c r="E93" s="26"/>
      <c r="F93" s="29"/>
      <c r="G93" s="34">
        <f t="shared" si="7"/>
        <v>0</v>
      </c>
      <c r="H93" s="26"/>
      <c r="I93" s="26">
        <v>10000</v>
      </c>
      <c r="J93" s="26"/>
    </row>
    <row r="94" spans="1:10" s="28" customFormat="1" ht="55.5" customHeight="1" x14ac:dyDescent="0.25">
      <c r="A94" s="21" t="s">
        <v>42</v>
      </c>
      <c r="B94" s="22" t="s">
        <v>145</v>
      </c>
      <c r="C94" s="22" t="s">
        <v>149</v>
      </c>
      <c r="D94" s="22" t="s">
        <v>147</v>
      </c>
      <c r="E94" s="26"/>
      <c r="F94" s="29"/>
      <c r="G94" s="34">
        <f t="shared" si="7"/>
        <v>0</v>
      </c>
      <c r="H94" s="26"/>
      <c r="I94" s="26">
        <v>30000</v>
      </c>
      <c r="J94" s="26"/>
    </row>
    <row r="95" spans="1:10" s="28" customFormat="1" ht="55.5" customHeight="1" x14ac:dyDescent="0.25">
      <c r="A95" s="21" t="s">
        <v>42</v>
      </c>
      <c r="B95" s="22" t="s">
        <v>145</v>
      </c>
      <c r="C95" s="22" t="s">
        <v>150</v>
      </c>
      <c r="D95" s="22" t="s">
        <v>147</v>
      </c>
      <c r="E95" s="26"/>
      <c r="F95" s="29"/>
      <c r="G95" s="34">
        <f t="shared" si="7"/>
        <v>0</v>
      </c>
      <c r="H95" s="26"/>
      <c r="I95" s="26">
        <v>15000</v>
      </c>
      <c r="J95" s="26"/>
    </row>
    <row r="96" spans="1:10" s="28" customFormat="1" ht="55.5" customHeight="1" x14ac:dyDescent="0.25">
      <c r="A96" s="21" t="s">
        <v>42</v>
      </c>
      <c r="B96" s="22" t="s">
        <v>151</v>
      </c>
      <c r="C96" s="22" t="s">
        <v>152</v>
      </c>
      <c r="D96" s="22" t="s">
        <v>153</v>
      </c>
      <c r="E96" s="23">
        <v>171283</v>
      </c>
      <c r="F96" s="24">
        <v>4.5</v>
      </c>
      <c r="G96" s="47">
        <f t="shared" si="7"/>
        <v>770773.5</v>
      </c>
      <c r="H96" s="26">
        <v>800000</v>
      </c>
      <c r="I96" s="26">
        <v>10000</v>
      </c>
      <c r="J96" s="26"/>
    </row>
    <row r="97" spans="1:10" s="28" customFormat="1" ht="55.5" customHeight="1" x14ac:dyDescent="0.25">
      <c r="A97" s="21" t="s">
        <v>42</v>
      </c>
      <c r="B97" s="22" t="s">
        <v>151</v>
      </c>
      <c r="C97" s="22" t="s">
        <v>155</v>
      </c>
      <c r="D97" s="22" t="s">
        <v>153</v>
      </c>
      <c r="E97" s="26"/>
      <c r="F97" s="29"/>
      <c r="G97" s="34">
        <f t="shared" si="7"/>
        <v>0</v>
      </c>
      <c r="H97" s="26"/>
      <c r="I97" s="26">
        <v>10000</v>
      </c>
      <c r="J97" s="26"/>
    </row>
    <row r="98" spans="1:10" s="28" customFormat="1" ht="55.5" customHeight="1" x14ac:dyDescent="0.25">
      <c r="A98" s="21" t="s">
        <v>42</v>
      </c>
      <c r="B98" s="22" t="s">
        <v>156</v>
      </c>
      <c r="C98" s="22" t="s">
        <v>157</v>
      </c>
      <c r="D98" s="22" t="s">
        <v>158</v>
      </c>
      <c r="E98" s="23">
        <v>171283</v>
      </c>
      <c r="F98" s="24">
        <v>4.5</v>
      </c>
      <c r="G98" s="47">
        <f t="shared" si="7"/>
        <v>770773.5</v>
      </c>
      <c r="H98" s="26"/>
      <c r="I98" s="26">
        <v>60000</v>
      </c>
      <c r="J98" s="26"/>
    </row>
    <row r="99" spans="1:10" s="28" customFormat="1" ht="55.5" customHeight="1" x14ac:dyDescent="0.25">
      <c r="A99" s="21" t="s">
        <v>42</v>
      </c>
      <c r="B99" s="22" t="s">
        <v>159</v>
      </c>
      <c r="C99" s="22" t="s">
        <v>160</v>
      </c>
      <c r="D99" s="22" t="s">
        <v>161</v>
      </c>
      <c r="E99" s="23">
        <v>171283</v>
      </c>
      <c r="F99" s="24">
        <v>4.5</v>
      </c>
      <c r="G99" s="47">
        <f t="shared" si="7"/>
        <v>770773.5</v>
      </c>
      <c r="H99" s="26">
        <v>800000</v>
      </c>
      <c r="I99" s="26">
        <v>60000</v>
      </c>
      <c r="J99" s="26"/>
    </row>
    <row r="100" spans="1:10" s="28" customFormat="1" ht="94.5" customHeight="1" x14ac:dyDescent="0.25">
      <c r="A100" s="21" t="s">
        <v>42</v>
      </c>
      <c r="B100" s="22" t="s">
        <v>162</v>
      </c>
      <c r="C100" s="22" t="s">
        <v>163</v>
      </c>
      <c r="D100" s="22" t="s">
        <v>158</v>
      </c>
      <c r="E100" s="23">
        <v>171283</v>
      </c>
      <c r="F100" s="24">
        <v>4.5</v>
      </c>
      <c r="G100" s="47">
        <f t="shared" si="7"/>
        <v>770773.5</v>
      </c>
      <c r="H100" s="26">
        <v>800000</v>
      </c>
      <c r="I100" s="26">
        <v>50000</v>
      </c>
      <c r="J100" s="26"/>
    </row>
    <row r="101" spans="1:10" s="28" customFormat="1" ht="99" customHeight="1" x14ac:dyDescent="0.25">
      <c r="A101" s="21" t="s">
        <v>42</v>
      </c>
      <c r="B101" s="22" t="s">
        <v>208</v>
      </c>
      <c r="C101" s="22" t="s">
        <v>165</v>
      </c>
      <c r="D101" s="22" t="s">
        <v>166</v>
      </c>
      <c r="E101" s="23">
        <v>228866</v>
      </c>
      <c r="F101" s="24">
        <v>4.5</v>
      </c>
      <c r="G101" s="47">
        <f t="shared" si="7"/>
        <v>1029897</v>
      </c>
      <c r="H101" s="26">
        <v>800000</v>
      </c>
      <c r="I101" s="26"/>
      <c r="J101" s="26"/>
    </row>
    <row r="102" spans="1:10" s="28" customFormat="1" ht="60" x14ac:dyDescent="0.25">
      <c r="A102" s="21" t="s">
        <v>42</v>
      </c>
      <c r="B102" s="22" t="s">
        <v>167</v>
      </c>
      <c r="C102" s="22" t="s">
        <v>168</v>
      </c>
      <c r="D102" s="22" t="s">
        <v>169</v>
      </c>
      <c r="E102" s="23">
        <v>171283</v>
      </c>
      <c r="F102" s="24">
        <v>4.5</v>
      </c>
      <c r="G102" s="47">
        <f t="shared" si="7"/>
        <v>770773.5</v>
      </c>
      <c r="H102" s="26">
        <v>800000</v>
      </c>
      <c r="I102" s="26">
        <v>15000</v>
      </c>
      <c r="J102" s="26"/>
    </row>
    <row r="103" spans="1:10" ht="84.75" customHeight="1" x14ac:dyDescent="0.25">
      <c r="A103" s="21" t="s">
        <v>42</v>
      </c>
      <c r="B103" s="22" t="s">
        <v>167</v>
      </c>
      <c r="C103" s="22" t="s">
        <v>170</v>
      </c>
      <c r="D103" s="22" t="s">
        <v>169</v>
      </c>
      <c r="E103" s="26"/>
      <c r="F103" s="29"/>
      <c r="G103" s="34">
        <f t="shared" si="7"/>
        <v>0</v>
      </c>
      <c r="H103" s="26"/>
      <c r="I103" s="26">
        <v>15000</v>
      </c>
      <c r="J103" s="48"/>
    </row>
    <row r="104" spans="1:10" ht="46.5" customHeight="1" x14ac:dyDescent="0.25">
      <c r="A104" s="190"/>
      <c r="B104" s="191"/>
      <c r="C104" s="191"/>
      <c r="D104" s="191"/>
      <c r="E104" s="192"/>
      <c r="F104" s="193"/>
      <c r="G104" s="194">
        <f>SUBTOTAL(109,Tabla2[SUBTOTAL Viaticos])</f>
        <v>45893843.5</v>
      </c>
      <c r="H104" s="192"/>
      <c r="I104" s="192"/>
      <c r="J104" s="192"/>
    </row>
  </sheetData>
  <dataValidations count="1">
    <dataValidation type="list" allowBlank="1" showInputMessage="1" showErrorMessage="1" sqref="A2:A103" xr:uid="{00000000-0002-0000-0200-000000000000}">
      <formula1>metas</formula1>
    </dataValidation>
  </dataValidations>
  <pageMargins left="0.7" right="0.7" top="0.75" bottom="0.75" header="0.3" footer="0.3"/>
  <pageSetup scale="39"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O45"/>
  <sheetViews>
    <sheetView zoomScale="60" zoomScaleNormal="60" workbookViewId="0">
      <selection activeCell="R11" sqref="R11"/>
    </sheetView>
  </sheetViews>
  <sheetFormatPr baseColWidth="10" defaultRowHeight="14.4" x14ac:dyDescent="0.3"/>
  <cols>
    <col min="1" max="1" width="9.5546875" customWidth="1"/>
    <col min="2" max="2" width="55.44140625" customWidth="1"/>
    <col min="7" max="7" width="20" customWidth="1"/>
    <col min="8" max="8" width="7.44140625" style="3" customWidth="1"/>
    <col min="9" max="9" width="10" customWidth="1"/>
    <col min="10" max="10" width="42.44140625" customWidth="1"/>
    <col min="11" max="11" width="9.33203125" customWidth="1"/>
    <col min="12" max="12" width="10" customWidth="1"/>
    <col min="13" max="13" width="9.5546875" customWidth="1"/>
    <col min="14" max="14" width="13" style="3" customWidth="1"/>
    <col min="15" max="15" width="17.33203125" customWidth="1"/>
  </cols>
  <sheetData>
    <row r="1" spans="1:15" ht="65.25" customHeight="1" x14ac:dyDescent="0.3">
      <c r="A1" s="208" t="s">
        <v>418</v>
      </c>
      <c r="B1" s="208"/>
      <c r="C1" s="208"/>
      <c r="D1" s="208"/>
      <c r="E1" s="208"/>
      <c r="F1" s="208"/>
      <c r="G1" s="208"/>
      <c r="H1"/>
      <c r="I1" s="209" t="s">
        <v>213</v>
      </c>
      <c r="J1" s="209"/>
      <c r="K1" s="209"/>
      <c r="L1" s="209"/>
      <c r="M1" s="209"/>
      <c r="N1" s="209"/>
      <c r="O1" s="209"/>
    </row>
    <row r="2" spans="1:15" ht="31.2" x14ac:dyDescent="0.3">
      <c r="A2" s="181" t="s">
        <v>2</v>
      </c>
      <c r="B2" s="159" t="s">
        <v>214</v>
      </c>
      <c r="C2" s="159" t="s">
        <v>215</v>
      </c>
      <c r="D2" s="159" t="s">
        <v>216</v>
      </c>
      <c r="E2" s="159" t="s">
        <v>217</v>
      </c>
      <c r="F2" s="159" t="s">
        <v>218</v>
      </c>
      <c r="G2" s="159" t="s">
        <v>419</v>
      </c>
      <c r="H2"/>
      <c r="I2" s="180" t="s">
        <v>2</v>
      </c>
      <c r="J2" s="79" t="s">
        <v>219</v>
      </c>
      <c r="K2" s="80" t="s">
        <v>215</v>
      </c>
      <c r="L2" s="80" t="s">
        <v>216</v>
      </c>
      <c r="M2" s="80" t="s">
        <v>217</v>
      </c>
      <c r="N2" s="80" t="s">
        <v>218</v>
      </c>
      <c r="O2" s="182" t="s">
        <v>417</v>
      </c>
    </row>
    <row r="3" spans="1:15" s="1" customFormat="1" ht="55.2" x14ac:dyDescent="0.3">
      <c r="A3" s="2" t="s">
        <v>220</v>
      </c>
      <c r="B3" s="160" t="s">
        <v>42</v>
      </c>
      <c r="C3" s="82">
        <v>56</v>
      </c>
      <c r="D3" s="82">
        <v>23</v>
      </c>
      <c r="E3" s="82">
        <v>17</v>
      </c>
      <c r="F3" s="4"/>
      <c r="G3" s="2">
        <f>SUM(C3:F3)</f>
        <v>96</v>
      </c>
      <c r="I3" s="148" t="s">
        <v>221</v>
      </c>
      <c r="J3" s="81" t="s">
        <v>222</v>
      </c>
      <c r="K3" s="83">
        <v>0.5</v>
      </c>
      <c r="L3" s="83">
        <v>0.5</v>
      </c>
      <c r="M3" s="4"/>
      <c r="N3" s="4"/>
      <c r="O3" s="149">
        <v>1</v>
      </c>
    </row>
    <row r="4" spans="1:15" ht="68.25" customHeight="1" x14ac:dyDescent="0.3">
      <c r="A4" s="2" t="s">
        <v>220</v>
      </c>
      <c r="B4" s="160" t="s">
        <v>56</v>
      </c>
      <c r="C4" s="82">
        <v>50</v>
      </c>
      <c r="D4" s="82">
        <v>50</v>
      </c>
      <c r="E4" s="82">
        <v>50</v>
      </c>
      <c r="F4" s="82">
        <v>50</v>
      </c>
      <c r="G4" s="2">
        <f t="shared" ref="G4:G19" si="0">SUM(C4:F4)</f>
        <v>200</v>
      </c>
      <c r="H4"/>
      <c r="I4" s="148" t="s">
        <v>224</v>
      </c>
      <c r="J4" s="150" t="s">
        <v>225</v>
      </c>
      <c r="K4" s="151">
        <v>0.125</v>
      </c>
      <c r="L4" s="151">
        <v>0.125</v>
      </c>
      <c r="M4" s="151">
        <v>0.125</v>
      </c>
      <c r="N4" s="151">
        <v>0.125</v>
      </c>
      <c r="O4" s="152">
        <v>1</v>
      </c>
    </row>
    <row r="5" spans="1:15" ht="44.25" customHeight="1" x14ac:dyDescent="0.3">
      <c r="A5" s="2" t="s">
        <v>220</v>
      </c>
      <c r="B5" s="160" t="s">
        <v>61</v>
      </c>
      <c r="C5" s="82">
        <v>5</v>
      </c>
      <c r="D5" s="82">
        <v>5</v>
      </c>
      <c r="E5" s="82">
        <v>5</v>
      </c>
      <c r="F5" s="82">
        <v>5</v>
      </c>
      <c r="G5" s="2">
        <f t="shared" si="0"/>
        <v>20</v>
      </c>
      <c r="H5"/>
      <c r="I5" s="148" t="s">
        <v>224</v>
      </c>
      <c r="J5" s="150" t="s">
        <v>226</v>
      </c>
      <c r="K5" s="151">
        <v>0.125</v>
      </c>
      <c r="L5" s="151">
        <v>0.125</v>
      </c>
      <c r="M5" s="151">
        <v>0.125</v>
      </c>
      <c r="N5" s="151">
        <v>0.125</v>
      </c>
      <c r="O5" s="152">
        <v>1</v>
      </c>
    </row>
    <row r="6" spans="1:15" ht="75" customHeight="1" x14ac:dyDescent="0.3">
      <c r="A6" s="2" t="s">
        <v>220</v>
      </c>
      <c r="B6" s="160" t="s">
        <v>66</v>
      </c>
      <c r="C6" s="82">
        <v>10</v>
      </c>
      <c r="D6" s="82">
        <v>20</v>
      </c>
      <c r="E6" s="82">
        <v>20</v>
      </c>
      <c r="F6" s="82">
        <v>20</v>
      </c>
      <c r="G6" s="2">
        <f>SUM(C6:F6)</f>
        <v>70</v>
      </c>
      <c r="H6"/>
      <c r="I6" s="148" t="s">
        <v>227</v>
      </c>
      <c r="J6" s="150" t="s">
        <v>228</v>
      </c>
      <c r="K6" s="153">
        <v>100</v>
      </c>
      <c r="L6" s="153">
        <v>100</v>
      </c>
      <c r="M6" s="153">
        <v>100</v>
      </c>
      <c r="N6" s="153">
        <v>100</v>
      </c>
      <c r="O6" s="154">
        <v>400</v>
      </c>
    </row>
    <row r="7" spans="1:15" ht="56.25" customHeight="1" x14ac:dyDescent="0.3">
      <c r="A7" s="2"/>
      <c r="B7" s="160"/>
      <c r="C7" s="178">
        <f t="shared" ref="C7:F7" si="1">SUM(C3:C6)</f>
        <v>121</v>
      </c>
      <c r="D7" s="178">
        <f t="shared" si="1"/>
        <v>98</v>
      </c>
      <c r="E7" s="178">
        <f t="shared" si="1"/>
        <v>92</v>
      </c>
      <c r="F7" s="178">
        <f t="shared" si="1"/>
        <v>75</v>
      </c>
      <c r="G7" s="178">
        <f>SUM(G3:G6)</f>
        <v>386</v>
      </c>
      <c r="H7"/>
      <c r="I7" s="148" t="s">
        <v>227</v>
      </c>
      <c r="J7" s="150" t="s">
        <v>230</v>
      </c>
      <c r="K7" s="155">
        <v>0.25</v>
      </c>
      <c r="L7" s="155">
        <v>0.25</v>
      </c>
      <c r="M7" s="155">
        <v>0.25</v>
      </c>
      <c r="N7" s="155">
        <v>0.25</v>
      </c>
      <c r="O7" s="152">
        <v>1</v>
      </c>
    </row>
    <row r="8" spans="1:15" ht="56.25" customHeight="1" x14ac:dyDescent="0.3">
      <c r="A8" s="2" t="s">
        <v>223</v>
      </c>
      <c r="B8" s="160" t="s">
        <v>210</v>
      </c>
      <c r="C8" s="82">
        <v>600</v>
      </c>
      <c r="D8" s="82">
        <v>600</v>
      </c>
      <c r="E8" s="82">
        <v>600</v>
      </c>
      <c r="F8" s="82">
        <v>600</v>
      </c>
      <c r="G8" s="2">
        <f t="shared" ref="G8:G15" si="2">SUM(C8:F8)</f>
        <v>2400</v>
      </c>
      <c r="H8"/>
      <c r="I8" s="148" t="s">
        <v>231</v>
      </c>
      <c r="J8" s="150" t="s">
        <v>232</v>
      </c>
      <c r="K8" s="155">
        <v>0.25</v>
      </c>
      <c r="L8" s="155">
        <v>0.25</v>
      </c>
      <c r="M8" s="155">
        <v>0.25</v>
      </c>
      <c r="N8" s="155">
        <v>0.25</v>
      </c>
      <c r="O8" s="152">
        <v>1</v>
      </c>
    </row>
    <row r="9" spans="1:15" ht="41.25" customHeight="1" x14ac:dyDescent="0.3">
      <c r="A9" s="2" t="s">
        <v>223</v>
      </c>
      <c r="B9" s="160" t="s">
        <v>78</v>
      </c>
      <c r="C9" s="82">
        <v>50</v>
      </c>
      <c r="D9" s="82">
        <v>50</v>
      </c>
      <c r="E9" s="82">
        <v>50</v>
      </c>
      <c r="F9" s="82">
        <v>50</v>
      </c>
      <c r="G9" s="2">
        <f t="shared" si="2"/>
        <v>200</v>
      </c>
      <c r="H9"/>
      <c r="I9" s="148" t="s">
        <v>231</v>
      </c>
      <c r="J9" s="150" t="s">
        <v>234</v>
      </c>
      <c r="K9" s="155">
        <v>0.25</v>
      </c>
      <c r="L9" s="155">
        <v>0.25</v>
      </c>
      <c r="M9" s="155">
        <v>0.25</v>
      </c>
      <c r="N9" s="155">
        <v>0.25</v>
      </c>
      <c r="O9" s="152">
        <v>1</v>
      </c>
    </row>
    <row r="10" spans="1:15" ht="46.5" customHeight="1" x14ac:dyDescent="0.3">
      <c r="A10" s="2" t="s">
        <v>223</v>
      </c>
      <c r="B10" s="160" t="s">
        <v>82</v>
      </c>
      <c r="C10" s="82">
        <v>400</v>
      </c>
      <c r="D10" s="82">
        <v>400</v>
      </c>
      <c r="E10" s="82">
        <v>400</v>
      </c>
      <c r="F10" s="82">
        <v>400</v>
      </c>
      <c r="G10" s="2">
        <f t="shared" si="2"/>
        <v>1600</v>
      </c>
      <c r="H10"/>
      <c r="I10" s="148" t="s">
        <v>235</v>
      </c>
      <c r="J10" s="150" t="s">
        <v>236</v>
      </c>
      <c r="K10" s="151">
        <v>0.125</v>
      </c>
      <c r="L10" s="151">
        <v>0.125</v>
      </c>
      <c r="M10" s="151">
        <v>0.125</v>
      </c>
      <c r="N10" s="151">
        <v>0.125</v>
      </c>
      <c r="O10" s="152">
        <v>1</v>
      </c>
    </row>
    <row r="11" spans="1:15" ht="57" customHeight="1" x14ac:dyDescent="0.3">
      <c r="A11" s="2" t="s">
        <v>223</v>
      </c>
      <c r="B11" s="160" t="s">
        <v>86</v>
      </c>
      <c r="C11" s="82">
        <v>4</v>
      </c>
      <c r="D11" s="82">
        <v>3</v>
      </c>
      <c r="E11" s="82">
        <v>3</v>
      </c>
      <c r="F11" s="82">
        <v>3</v>
      </c>
      <c r="G11" s="2">
        <f t="shared" si="2"/>
        <v>13</v>
      </c>
      <c r="H11"/>
      <c r="I11" s="148" t="s">
        <v>235</v>
      </c>
      <c r="J11" s="156" t="s">
        <v>237</v>
      </c>
      <c r="K11" s="157">
        <v>0.125</v>
      </c>
      <c r="L11" s="157">
        <v>0.125</v>
      </c>
      <c r="M11" s="157">
        <v>0.125</v>
      </c>
      <c r="N11" s="157">
        <v>0.125</v>
      </c>
      <c r="O11" s="158">
        <v>1</v>
      </c>
    </row>
    <row r="12" spans="1:15" ht="44.25" customHeight="1" x14ac:dyDescent="0.3">
      <c r="A12" s="2" t="s">
        <v>223</v>
      </c>
      <c r="B12" s="160" t="s">
        <v>72</v>
      </c>
      <c r="C12" s="82">
        <v>60</v>
      </c>
      <c r="D12" s="82">
        <v>70</v>
      </c>
      <c r="E12" s="82">
        <v>80</v>
      </c>
      <c r="F12" s="82">
        <v>90</v>
      </c>
      <c r="G12" s="2">
        <f t="shared" si="2"/>
        <v>300</v>
      </c>
      <c r="H12"/>
    </row>
    <row r="13" spans="1:15" ht="51" customHeight="1" x14ac:dyDescent="0.3">
      <c r="A13" s="2" t="s">
        <v>223</v>
      </c>
      <c r="B13" s="160" t="s">
        <v>74</v>
      </c>
      <c r="C13" s="82">
        <v>800</v>
      </c>
      <c r="D13" s="82">
        <v>800</v>
      </c>
      <c r="E13" s="82">
        <v>800</v>
      </c>
      <c r="F13" s="82">
        <v>800</v>
      </c>
      <c r="G13" s="2">
        <f t="shared" si="2"/>
        <v>3200</v>
      </c>
      <c r="H13"/>
      <c r="N13"/>
    </row>
    <row r="14" spans="1:15" ht="56.25" customHeight="1" x14ac:dyDescent="0.3">
      <c r="A14" s="2" t="s">
        <v>223</v>
      </c>
      <c r="B14" s="160" t="s">
        <v>238</v>
      </c>
      <c r="C14" s="82">
        <v>1000</v>
      </c>
      <c r="D14" s="82">
        <v>1000</v>
      </c>
      <c r="E14" s="82">
        <v>1000</v>
      </c>
      <c r="F14" s="82">
        <v>1000</v>
      </c>
      <c r="G14" s="2">
        <f t="shared" si="2"/>
        <v>4000</v>
      </c>
      <c r="H14"/>
      <c r="N14"/>
    </row>
    <row r="15" spans="1:15" ht="56.25" customHeight="1" x14ac:dyDescent="0.3">
      <c r="A15" s="2" t="s">
        <v>223</v>
      </c>
      <c r="B15" s="160" t="s">
        <v>239</v>
      </c>
      <c r="C15" s="82">
        <v>462000</v>
      </c>
      <c r="D15" s="82">
        <v>45000</v>
      </c>
      <c r="E15" s="82">
        <v>50000</v>
      </c>
      <c r="F15" s="82">
        <v>50000</v>
      </c>
      <c r="G15" s="2">
        <f t="shared" si="2"/>
        <v>607000</v>
      </c>
      <c r="H15"/>
      <c r="N15"/>
    </row>
    <row r="16" spans="1:15" ht="51.75" customHeight="1" x14ac:dyDescent="0.3">
      <c r="A16" s="2"/>
      <c r="B16" s="160"/>
      <c r="C16" s="178">
        <f t="shared" ref="C16:F16" si="3">SUM(C8:C15)</f>
        <v>464914</v>
      </c>
      <c r="D16" s="178">
        <f t="shared" si="3"/>
        <v>47923</v>
      </c>
      <c r="E16" s="178">
        <f t="shared" si="3"/>
        <v>52933</v>
      </c>
      <c r="F16" s="178">
        <f t="shared" si="3"/>
        <v>52943</v>
      </c>
      <c r="G16" s="178">
        <f>SUM(G8:G15)</f>
        <v>618713</v>
      </c>
      <c r="H16"/>
      <c r="N16"/>
    </row>
    <row r="17" spans="1:14" ht="54" customHeight="1" x14ac:dyDescent="0.3">
      <c r="A17" s="2" t="s">
        <v>229</v>
      </c>
      <c r="B17" s="160" t="s">
        <v>114</v>
      </c>
      <c r="C17" s="82">
        <v>2</v>
      </c>
      <c r="D17" s="82">
        <v>1</v>
      </c>
      <c r="E17" s="82">
        <v>1</v>
      </c>
      <c r="F17" s="82">
        <v>1</v>
      </c>
      <c r="G17" s="2">
        <f t="shared" si="0"/>
        <v>5</v>
      </c>
      <c r="H17"/>
      <c r="N17"/>
    </row>
    <row r="18" spans="1:14" ht="54" customHeight="1" x14ac:dyDescent="0.3">
      <c r="A18" s="2" t="s">
        <v>229</v>
      </c>
      <c r="B18" s="160" t="s">
        <v>109</v>
      </c>
      <c r="C18" s="82">
        <v>1</v>
      </c>
      <c r="D18" s="82">
        <v>1</v>
      </c>
      <c r="E18" s="82">
        <v>1</v>
      </c>
      <c r="F18" s="82">
        <v>0</v>
      </c>
      <c r="G18" s="2">
        <f t="shared" si="0"/>
        <v>3</v>
      </c>
      <c r="H18"/>
      <c r="N18"/>
    </row>
    <row r="19" spans="1:14" ht="75" customHeight="1" x14ac:dyDescent="0.3">
      <c r="A19" s="2" t="s">
        <v>229</v>
      </c>
      <c r="B19" s="160" t="s">
        <v>233</v>
      </c>
      <c r="C19" s="82">
        <v>10</v>
      </c>
      <c r="D19" s="82">
        <v>10</v>
      </c>
      <c r="E19" s="82">
        <v>10</v>
      </c>
      <c r="F19" s="82">
        <v>10</v>
      </c>
      <c r="G19" s="2">
        <f t="shared" si="0"/>
        <v>40</v>
      </c>
      <c r="H19"/>
      <c r="N19"/>
    </row>
    <row r="20" spans="1:14" ht="26.25" customHeight="1" x14ac:dyDescent="0.3">
      <c r="A20" s="2"/>
      <c r="B20" s="160"/>
      <c r="C20" s="178">
        <f t="shared" ref="C20:F20" si="4">+C19+C18+C17</f>
        <v>13</v>
      </c>
      <c r="D20" s="178">
        <f t="shared" si="4"/>
        <v>12</v>
      </c>
      <c r="E20" s="178">
        <f t="shared" si="4"/>
        <v>12</v>
      </c>
      <c r="F20" s="178">
        <f t="shared" si="4"/>
        <v>11</v>
      </c>
      <c r="G20" s="178">
        <f>+G19+G18+G17</f>
        <v>48</v>
      </c>
      <c r="H20"/>
      <c r="N20"/>
    </row>
    <row r="21" spans="1:14" ht="32.25" customHeight="1" x14ac:dyDescent="0.3">
      <c r="A21" s="161"/>
      <c r="B21" s="162"/>
      <c r="C21" s="179">
        <f t="shared" ref="C21:F21" si="5">+C7+C16+C20</f>
        <v>465048</v>
      </c>
      <c r="D21" s="179">
        <f t="shared" si="5"/>
        <v>48033</v>
      </c>
      <c r="E21" s="179">
        <f t="shared" si="5"/>
        <v>53037</v>
      </c>
      <c r="F21" s="179">
        <f t="shared" si="5"/>
        <v>53029</v>
      </c>
      <c r="G21" s="179">
        <f>+G7+G16+G20</f>
        <v>619147</v>
      </c>
      <c r="H21"/>
      <c r="N21"/>
    </row>
    <row r="22" spans="1:14" x14ac:dyDescent="0.3">
      <c r="H22"/>
      <c r="N22"/>
    </row>
    <row r="23" spans="1:14" x14ac:dyDescent="0.3">
      <c r="A23" s="3"/>
      <c r="G23" s="3"/>
      <c r="H23"/>
      <c r="N23"/>
    </row>
    <row r="24" spans="1:14" x14ac:dyDescent="0.3">
      <c r="A24" s="3"/>
      <c r="G24" s="3"/>
      <c r="H24"/>
      <c r="N24"/>
    </row>
    <row r="30" spans="1:14" ht="44.25" customHeight="1" x14ac:dyDescent="0.3"/>
    <row r="32" spans="1:14" ht="39" customHeight="1" x14ac:dyDescent="0.3"/>
    <row r="34" ht="41.25" customHeight="1" x14ac:dyDescent="0.3"/>
    <row r="35" ht="41.25" customHeight="1" x14ac:dyDescent="0.3"/>
    <row r="36" ht="41.25" customHeight="1" x14ac:dyDescent="0.3"/>
    <row r="37" ht="41.25" customHeight="1" x14ac:dyDescent="0.3"/>
    <row r="38" ht="41.25" customHeight="1" x14ac:dyDescent="0.3"/>
    <row r="39" ht="41.25" customHeight="1" x14ac:dyDescent="0.3"/>
    <row r="40" ht="41.25" customHeight="1" x14ac:dyDescent="0.3"/>
    <row r="41" ht="33.75" customHeight="1" x14ac:dyDescent="0.3"/>
    <row r="44" ht="50.25" customHeight="1" x14ac:dyDescent="0.3"/>
    <row r="45" ht="23.25" customHeight="1" x14ac:dyDescent="0.3"/>
  </sheetData>
  <mergeCells count="2">
    <mergeCell ref="A1:G1"/>
    <mergeCell ref="I1:O1"/>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AB11"/>
  <sheetViews>
    <sheetView workbookViewId="0">
      <selection activeCell="B6" sqref="B6"/>
    </sheetView>
  </sheetViews>
  <sheetFormatPr baseColWidth="10" defaultRowHeight="14.4" x14ac:dyDescent="0.3"/>
  <cols>
    <col min="1" max="1" width="19.33203125" customWidth="1"/>
    <col min="2" max="2" width="30.109375" customWidth="1"/>
    <col min="4" max="4" width="17.109375" customWidth="1"/>
    <col min="6" max="6" width="56.44140625" customWidth="1"/>
  </cols>
  <sheetData>
    <row r="3" spans="1:28" ht="17.399999999999999" x14ac:dyDescent="0.3">
      <c r="A3" s="139" t="s">
        <v>412</v>
      </c>
      <c r="B3" s="140">
        <v>746375399</v>
      </c>
    </row>
    <row r="4" spans="1:28" ht="79.5" customHeight="1" x14ac:dyDescent="0.3">
      <c r="A4" s="142" t="s">
        <v>413</v>
      </c>
      <c r="B4" s="143">
        <f>+'PLAN DE ADQUISICIONES 2021'!N154-B3</f>
        <v>462857495</v>
      </c>
      <c r="D4" s="141">
        <f>20000000+10000000+2000000+8900000+4500000+2500000+2500000+500000+12170250+5000000+500000+1000000+500000+550000+497351</f>
        <v>71117601</v>
      </c>
      <c r="E4" s="5"/>
      <c r="F4" s="5" t="s">
        <v>415</v>
      </c>
    </row>
    <row r="5" spans="1:28" ht="66.75" customHeight="1" x14ac:dyDescent="0.3">
      <c r="A5" s="7" t="s">
        <v>414</v>
      </c>
      <c r="B5" s="144">
        <f>+B4-D4</f>
        <v>391739894</v>
      </c>
    </row>
    <row r="6" spans="1:28" s="5" customFormat="1" ht="64.5" customHeight="1" x14ac:dyDescent="0.3">
      <c r="S6" s="118"/>
      <c r="T6" s="118"/>
      <c r="AB6" s="6"/>
    </row>
    <row r="7" spans="1:28" s="5" customFormat="1" ht="47.25" customHeight="1" x14ac:dyDescent="0.3">
      <c r="S7" s="118"/>
      <c r="T7" s="118"/>
      <c r="AB7" s="6"/>
    </row>
    <row r="8" spans="1:28" s="5" customFormat="1" ht="52.5" customHeight="1" x14ac:dyDescent="0.3">
      <c r="S8" s="118"/>
      <c r="T8" s="118"/>
      <c r="AB8" s="6"/>
    </row>
    <row r="9" spans="1:28" s="5" customFormat="1" ht="57" customHeight="1" x14ac:dyDescent="0.3">
      <c r="S9" s="118"/>
      <c r="T9" s="118"/>
      <c r="AB9" s="6"/>
    </row>
    <row r="10" spans="1:28" s="5" customFormat="1" ht="39.9" customHeight="1" x14ac:dyDescent="0.3">
      <c r="R10" s="118"/>
      <c r="S10" s="118"/>
      <c r="AB10" s="6"/>
    </row>
    <row r="11" spans="1:28" s="5" customFormat="1" ht="39.9" customHeight="1" x14ac:dyDescent="0.3">
      <c r="R11" s="118"/>
      <c r="S11" s="118"/>
      <c r="T11" s="146">
        <f>50000*11</f>
        <v>550000</v>
      </c>
      <c r="U11" s="145" t="s">
        <v>416</v>
      </c>
      <c r="AB1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PLAN DE ADQUISICIONES 2021</vt:lpstr>
      <vt:lpstr>Reservas presupuestales</vt:lpstr>
      <vt:lpstr>COMISIONES</vt:lpstr>
      <vt:lpstr>Metas cuatrenio</vt:lpstr>
      <vt:lpstr>Hoja1</vt:lpstr>
      <vt:lpstr>'Metas cuatrenio'!_Toc16493524</vt:lpstr>
      <vt:lpstr>COMISIONES!Área_de_impresión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ROBERT TORRES VELANDIA</cp:lastModifiedBy>
  <dcterms:created xsi:type="dcterms:W3CDTF">2020-12-16T22:42:20Z</dcterms:created>
  <dcterms:modified xsi:type="dcterms:W3CDTF">2021-10-01T20:19:04Z</dcterms:modified>
</cp:coreProperties>
</file>