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MJ\Downloads\"/>
    </mc:Choice>
  </mc:AlternateContent>
  <xr:revisionPtr revIDLastSave="0" documentId="13_ncr:1_{F95B6BC5-58C7-499E-A59C-7A3242E1A8A8}" xr6:coauthVersionLast="47" xr6:coauthVersionMax="47" xr10:uidLastSave="{00000000-0000-0000-0000-000000000000}"/>
  <bookViews>
    <workbookView xWindow="-108" yWindow="-108" windowWidth="23256" windowHeight="12576" xr2:uid="{00000000-000D-0000-FFFF-FFFF00000000}"/>
  </bookViews>
  <sheets>
    <sheet name="PLAN DE ADQUISICIONES 2021" sheetId="1" r:id="rId1"/>
    <sheet name="Reservas presupuestales" sheetId="3" r:id="rId2"/>
    <sheet name="Metas cuatrenio" sheetId="4" r:id="rId3"/>
    <sheet name="Hoja1" sheetId="5" state="hidden" r:id="rId4"/>
    <sheet name="COMISIONES" sheetId="2" r:id="rId5"/>
  </sheets>
  <externalReferences>
    <externalReference r:id="rId6"/>
    <externalReference r:id="rId7"/>
  </externalReferences>
  <definedNames>
    <definedName name="_xlnm._FilterDatabase" localSheetId="0" hidden="1">'PLAN DE ADQUISICIONES 2021'!$2:$184</definedName>
    <definedName name="_xlnm._FilterDatabase" localSheetId="1" hidden="1">'Reservas presupuestales'!$A$3:$V$72</definedName>
    <definedName name="_Toc16493523" localSheetId="2">'Metas cuatrenio'!#REF!</definedName>
    <definedName name="_Toc16493524" localSheetId="2">'Metas cuatrenio'!$I$1</definedName>
    <definedName name="_xlnm.Print_Area" localSheetId="4">COMISIONES!$A$1:$I$103</definedName>
    <definedName name="CPA">[1]Listas!$B$1:$B$19</definedName>
    <definedName name="gasto">[1]Listas!$F$1:$F$7</definedName>
    <definedName name="GRUPO">[1]Listas!$M$1:$M$17</definedName>
    <definedName name="M">[1]Listas!$D$1:$D$4</definedName>
    <definedName name="META">[2]lista!$D$1</definedName>
    <definedName name="metas">[1]Listas!$A$1:$A$15</definedName>
    <definedName name="proceso">[1]Listas!$K$1:$K$15</definedName>
    <definedName name="PROYECTO">[1]Listas!$C$1:$C$2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8" i="3" l="1"/>
  <c r="M68" i="3"/>
  <c r="P67" i="3"/>
  <c r="M67" i="3"/>
  <c r="P66" i="3"/>
  <c r="M66" i="3"/>
  <c r="P65" i="3"/>
  <c r="M65" i="3"/>
  <c r="P58" i="3"/>
  <c r="M58" i="3"/>
  <c r="P57" i="3"/>
  <c r="M57" i="3"/>
  <c r="P55" i="3"/>
  <c r="M55" i="3"/>
  <c r="P48" i="3"/>
  <c r="M48" i="3"/>
  <c r="P44" i="3"/>
  <c r="M44" i="3"/>
  <c r="P28" i="3"/>
  <c r="M28" i="3"/>
  <c r="P27" i="3"/>
  <c r="M27" i="3"/>
  <c r="P26" i="3"/>
  <c r="M26" i="3"/>
  <c r="P25" i="3"/>
  <c r="M25" i="3"/>
  <c r="P24" i="3"/>
  <c r="M24" i="3"/>
  <c r="P23" i="3"/>
  <c r="M23" i="3"/>
  <c r="P21" i="3" l="1"/>
  <c r="Q21" i="3" s="1"/>
  <c r="M21" i="3"/>
  <c r="P20" i="3"/>
  <c r="M20" i="3"/>
  <c r="M18" i="3"/>
  <c r="P18" i="3"/>
  <c r="AL127" i="1"/>
  <c r="AL155" i="1" l="1"/>
  <c r="AL156" i="1"/>
  <c r="AL154" i="1"/>
  <c r="AL104" i="1" l="1"/>
  <c r="AL103" i="1"/>
  <c r="AL98" i="1"/>
  <c r="AL108" i="1"/>
  <c r="AL107" i="1"/>
  <c r="AL105" i="1"/>
  <c r="AL106" i="1"/>
  <c r="AL86" i="1"/>
  <c r="AL85" i="1"/>
  <c r="AL97" i="1"/>
  <c r="AL109" i="1"/>
  <c r="AL99" i="1"/>
  <c r="AH106" i="1"/>
  <c r="AH103" i="1"/>
  <c r="AH104" i="1"/>
  <c r="AD104" i="1"/>
  <c r="AH98" i="1"/>
  <c r="AD98" i="1"/>
  <c r="AH107" i="1"/>
  <c r="AD107" i="1"/>
  <c r="AH108" i="1"/>
  <c r="AD108" i="1"/>
  <c r="AH105" i="1"/>
  <c r="AD105" i="1"/>
  <c r="AD106" i="1"/>
  <c r="AH99" i="1"/>
  <c r="AD99" i="1"/>
  <c r="AD103" i="1"/>
  <c r="AL82" i="1"/>
  <c r="AL75" i="1"/>
  <c r="AL79" i="1"/>
  <c r="AL81" i="1"/>
  <c r="AL80" i="1"/>
  <c r="AL78" i="1"/>
  <c r="AH78" i="1"/>
  <c r="AD78" i="1"/>
  <c r="AL72" i="1"/>
  <c r="AL70" i="1"/>
  <c r="AL65" i="1"/>
  <c r="AL66" i="1" l="1"/>
  <c r="AL64" i="1"/>
  <c r="AL32" i="1"/>
  <c r="AL33" i="1"/>
  <c r="AL39" i="1"/>
  <c r="AL26" i="1"/>
  <c r="AL55" i="1"/>
  <c r="AL35" i="1"/>
  <c r="AL54" i="1"/>
  <c r="AL56" i="1"/>
  <c r="AL25" i="1"/>
  <c r="AL28" i="1"/>
  <c r="AL57" i="1"/>
  <c r="AL24" i="1"/>
  <c r="AL27" i="1"/>
  <c r="AL29" i="1"/>
  <c r="AL51" i="1"/>
  <c r="AL18" i="1"/>
  <c r="AL31" i="1"/>
  <c r="AL30" i="1"/>
  <c r="AL38" i="1"/>
  <c r="AL41" i="1"/>
  <c r="AL42" i="1"/>
  <c r="AL40" i="1"/>
  <c r="AL37" i="1"/>
  <c r="AL43" i="1"/>
  <c r="AL19" i="1"/>
  <c r="AL22" i="1"/>
  <c r="AL21" i="1"/>
  <c r="AL20" i="1"/>
  <c r="AD43" i="1"/>
  <c r="AD49" i="1"/>
  <c r="AD58" i="1"/>
  <c r="AL12" i="1" l="1"/>
  <c r="AL17" i="1"/>
  <c r="AL16" i="1"/>
  <c r="AL15" i="1"/>
  <c r="AL11" i="1"/>
  <c r="AL10" i="1"/>
  <c r="AL9" i="1"/>
  <c r="AL7" i="1"/>
  <c r="AL6" i="1"/>
  <c r="AL5" i="1"/>
  <c r="AL4" i="1"/>
  <c r="AL3" i="1"/>
  <c r="AL134" i="1"/>
  <c r="AL133" i="1"/>
  <c r="AL170" i="1"/>
  <c r="AL164" i="1" l="1"/>
  <c r="AL137" i="1"/>
  <c r="AL132" i="1"/>
  <c r="AL118" i="1"/>
  <c r="AL113" i="1"/>
  <c r="AL146" i="1"/>
  <c r="AL160" i="1"/>
  <c r="AL150" i="1"/>
  <c r="AL142" i="1"/>
  <c r="AL159" i="1"/>
  <c r="AL135" i="1"/>
  <c r="AL176" i="1"/>
  <c r="AL169" i="1"/>
  <c r="AL168" i="1"/>
  <c r="AL151" i="1"/>
  <c r="AL152" i="1"/>
  <c r="AL121" i="1"/>
  <c r="AL141" i="1"/>
  <c r="AL148" i="1"/>
  <c r="AL145" i="1"/>
  <c r="AL140" i="1"/>
  <c r="AL138" i="1"/>
  <c r="AL139" i="1"/>
  <c r="AL143" i="1"/>
  <c r="AL149" i="1"/>
  <c r="AH141" i="1"/>
  <c r="AH130" i="1"/>
  <c r="AD130" i="1"/>
  <c r="AH131" i="1"/>
  <c r="AH167" i="1"/>
  <c r="AD167" i="1"/>
  <c r="AD163" i="1"/>
  <c r="AD161" i="1"/>
  <c r="AD129" i="1"/>
  <c r="AH169" i="1"/>
  <c r="AD169" i="1"/>
  <c r="AH113" i="1"/>
  <c r="AD113" i="1"/>
  <c r="AH132" i="1"/>
  <c r="AD132" i="1"/>
  <c r="AH164" i="1"/>
  <c r="AD164" i="1"/>
  <c r="AH137" i="1"/>
  <c r="AD137" i="1"/>
  <c r="AH118" i="1"/>
  <c r="AD118" i="1"/>
  <c r="AD136" i="1"/>
  <c r="AH136" i="1"/>
  <c r="AH36" i="1" l="1"/>
  <c r="AD36" i="1"/>
  <c r="AH117" i="1"/>
  <c r="AD117" i="1"/>
  <c r="AH80" i="1"/>
  <c r="AD80" i="1"/>
  <c r="AH172" i="1" l="1"/>
  <c r="AD172" i="1"/>
  <c r="AH155" i="1"/>
  <c r="AD155" i="1"/>
  <c r="AD34" i="1"/>
  <c r="AD32" i="1"/>
  <c r="AH34" i="1"/>
  <c r="AH32" i="1"/>
  <c r="AD48" i="1" l="1"/>
  <c r="AD176" i="1"/>
  <c r="AD64" i="1"/>
  <c r="AD141" i="1"/>
  <c r="P7" i="3" l="1"/>
  <c r="M7" i="3"/>
  <c r="P45" i="3"/>
  <c r="M45" i="3"/>
  <c r="AH153" i="1"/>
  <c r="AD153" i="1"/>
  <c r="P14" i="3"/>
  <c r="P13" i="3"/>
  <c r="P12" i="3"/>
  <c r="P11" i="3"/>
  <c r="M14" i="3"/>
  <c r="M13" i="3"/>
  <c r="M12" i="3"/>
  <c r="M11" i="3"/>
  <c r="P40" i="3"/>
  <c r="M40" i="3"/>
  <c r="P42" i="3"/>
  <c r="M42" i="3"/>
  <c r="AH170" i="1" l="1"/>
  <c r="AH133" i="1"/>
  <c r="AH82" i="1"/>
  <c r="AH149" i="1"/>
  <c r="AD149" i="1"/>
  <c r="AD170" i="1"/>
  <c r="AD133" i="1"/>
  <c r="AD82" i="1"/>
  <c r="AB147" i="1" l="1"/>
  <c r="AB84" i="1"/>
  <c r="AE84" i="1" s="1"/>
  <c r="AB83" i="1"/>
  <c r="AI83" i="1" s="1"/>
  <c r="AE147" i="1" l="1"/>
  <c r="AI147" i="1"/>
  <c r="AE83" i="1"/>
  <c r="AI84" i="1"/>
  <c r="T23" i="3"/>
  <c r="T33" i="3"/>
  <c r="T7" i="3"/>
  <c r="AL96" i="1"/>
  <c r="AL165" i="1"/>
  <c r="AH134" i="1" l="1"/>
  <c r="AD134" i="1"/>
  <c r="T15" i="3" l="1"/>
  <c r="AL8" i="1" l="1"/>
  <c r="AH8" i="1" l="1"/>
  <c r="AL14" i="1"/>
  <c r="AL13" i="1"/>
  <c r="AH14" i="1"/>
  <c r="AH13" i="1"/>
  <c r="AH33" i="1"/>
  <c r="AD33" i="1"/>
  <c r="AL68" i="1"/>
  <c r="AL63" i="1"/>
  <c r="AL62" i="1"/>
  <c r="AL69" i="1"/>
  <c r="AH69" i="1"/>
  <c r="AL130" i="1"/>
  <c r="AL131" i="1"/>
  <c r="AL144" i="1"/>
  <c r="AH135" i="1"/>
  <c r="AD135" i="1"/>
  <c r="AD14" i="1" l="1"/>
  <c r="AD69" i="1"/>
  <c r="Y95" i="1" l="1"/>
  <c r="AB95" i="1" s="1"/>
  <c r="AA103" i="1"/>
  <c r="AA100" i="1"/>
  <c r="AA96" i="1"/>
  <c r="AI95" i="1" l="1"/>
  <c r="AE95" i="1"/>
  <c r="AB181" i="1" l="1"/>
  <c r="AI181" i="1" s="1"/>
  <c r="AH43" i="1"/>
  <c r="AE181" i="1" l="1"/>
  <c r="T34" i="3"/>
  <c r="N72" i="1" l="1"/>
  <c r="AB72" i="1" s="1"/>
  <c r="AD71" i="1"/>
  <c r="AB71" i="1"/>
  <c r="N70" i="1"/>
  <c r="AB70" i="1" s="1"/>
  <c r="AE71" i="1" l="1"/>
  <c r="AI71" i="1"/>
  <c r="AE72" i="1"/>
  <c r="AI72" i="1"/>
  <c r="AI70" i="1"/>
  <c r="AE70" i="1"/>
  <c r="AL110" i="1" l="1"/>
  <c r="AB90" i="1"/>
  <c r="AI90" i="1" s="1"/>
  <c r="Y89" i="1"/>
  <c r="AB89" i="1" s="1"/>
  <c r="AI89" i="1" s="1"/>
  <c r="Y88" i="1"/>
  <c r="AB88" i="1" s="1"/>
  <c r="AI88" i="1" s="1"/>
  <c r="AB106" i="1"/>
  <c r="AI106" i="1" s="1"/>
  <c r="AD102" i="1"/>
  <c r="AB102" i="1"/>
  <c r="AI102" i="1" s="1"/>
  <c r="N101" i="1"/>
  <c r="AB101" i="1" s="1"/>
  <c r="AI101" i="1" s="1"/>
  <c r="AE90" i="1" l="1"/>
  <c r="AE88" i="1"/>
  <c r="AE89" i="1"/>
  <c r="AE106" i="1"/>
  <c r="AE102" i="1"/>
  <c r="AE101" i="1"/>
  <c r="AH63" i="1" l="1"/>
  <c r="AH62" i="1"/>
  <c r="AD68" i="1"/>
  <c r="AH68" i="1"/>
  <c r="AD61" i="1"/>
  <c r="AB61" i="1"/>
  <c r="AI61" i="1" s="1"/>
  <c r="AD60" i="1"/>
  <c r="N60" i="1"/>
  <c r="AB60" i="1" s="1"/>
  <c r="AE61" i="1" l="1"/>
  <c r="AI60" i="1"/>
  <c r="AE60" i="1"/>
  <c r="AH35" i="1" l="1"/>
  <c r="AD35" i="1"/>
  <c r="AA35" i="1"/>
  <c r="Z35" i="1"/>
  <c r="Z36" i="1"/>
  <c r="AB36" i="1" s="1"/>
  <c r="AB35" i="1" l="1"/>
  <c r="AE35" i="1" s="1"/>
  <c r="AE36" i="1"/>
  <c r="AI36" i="1"/>
  <c r="AH7" i="1"/>
  <c r="AD13" i="1"/>
  <c r="AD8" i="1"/>
  <c r="AD7" i="1"/>
  <c r="AL136" i="1"/>
  <c r="AI35" i="1" l="1"/>
  <c r="AD63" i="1" l="1"/>
  <c r="AD62" i="1"/>
  <c r="AH176" i="1" l="1"/>
  <c r="Y33" i="1" l="1"/>
  <c r="AB33" i="1" s="1"/>
  <c r="AI33" i="1" l="1"/>
  <c r="AE33" i="1"/>
  <c r="AL123" i="1" l="1"/>
  <c r="AD131" i="1" l="1"/>
  <c r="AA52" i="1" l="1"/>
  <c r="AA50" i="1"/>
  <c r="AA44" i="1"/>
  <c r="Y48" i="1"/>
  <c r="AB48" i="1" s="1"/>
  <c r="AE48" i="1" s="1"/>
  <c r="AI48" i="1" l="1"/>
  <c r="AB177" i="1"/>
  <c r="AI177" i="1" s="1"/>
  <c r="AB166" i="1"/>
  <c r="AI166" i="1" s="1"/>
  <c r="AA152" i="1"/>
  <c r="Z130" i="1"/>
  <c r="AA135" i="1"/>
  <c r="AA127" i="1"/>
  <c r="AA124" i="1"/>
  <c r="AA123" i="1"/>
  <c r="AA120" i="1"/>
  <c r="Z131" i="1"/>
  <c r="AA125" i="1"/>
  <c r="AA55" i="1"/>
  <c r="AE177" i="1" l="1"/>
  <c r="AE166" i="1"/>
  <c r="AD54" i="1" l="1"/>
  <c r="AD46" i="1" l="1"/>
  <c r="AD174" i="1" l="1"/>
  <c r="AH12" i="1" l="1"/>
  <c r="AD94" i="1" l="1"/>
  <c r="AD100" i="1"/>
  <c r="AD47" i="1"/>
  <c r="AD55" i="1"/>
  <c r="T10" i="3" l="1"/>
  <c r="T48" i="3"/>
  <c r="T52" i="3"/>
  <c r="T28" i="3"/>
  <c r="T44" i="3"/>
  <c r="AA77" i="1" l="1"/>
  <c r="AB81" i="1"/>
  <c r="AE81" i="1" s="1"/>
  <c r="AB80" i="1"/>
  <c r="AI80" i="1" s="1"/>
  <c r="AB79" i="1"/>
  <c r="AE79" i="1" s="1"/>
  <c r="AI79" i="1" l="1"/>
  <c r="AE80" i="1"/>
  <c r="AI81" i="1"/>
  <c r="Z51" i="1" l="1"/>
  <c r="AA59" i="1"/>
  <c r="Z54" i="1"/>
  <c r="AB104" i="1"/>
  <c r="AI104" i="1" s="1"/>
  <c r="AE104" i="1" l="1"/>
  <c r="Z57" i="1" l="1"/>
  <c r="AB50" i="1"/>
  <c r="AI50" i="1" s="1"/>
  <c r="AB49" i="1"/>
  <c r="AE49" i="1" s="1"/>
  <c r="AB47" i="1"/>
  <c r="AI47" i="1" s="1"/>
  <c r="AB46" i="1"/>
  <c r="AE46" i="1" s="1"/>
  <c r="AE50" i="1" l="1"/>
  <c r="AI46" i="1"/>
  <c r="AI49" i="1"/>
  <c r="AE47" i="1"/>
  <c r="T38" i="3" l="1"/>
  <c r="T37" i="3"/>
  <c r="T22" i="3"/>
  <c r="Y6" i="1" l="1"/>
  <c r="AB6" i="1" s="1"/>
  <c r="AB78" i="1"/>
  <c r="AE78" i="1" s="1"/>
  <c r="AI6" i="1" l="1"/>
  <c r="AE6" i="1"/>
  <c r="AI78" i="1"/>
  <c r="AD96" i="1" l="1"/>
  <c r="AD152" i="1"/>
  <c r="AD87" i="1"/>
  <c r="AL153" i="1" l="1"/>
  <c r="Y32" i="1" l="1"/>
  <c r="AB32" i="1" s="1"/>
  <c r="AB34" i="1"/>
  <c r="AA23" i="1"/>
  <c r="AB175" i="1"/>
  <c r="AE175" i="1" s="1"/>
  <c r="AL184" i="1"/>
  <c r="AH184" i="1"/>
  <c r="AD184" i="1"/>
  <c r="AE32" i="1" l="1"/>
  <c r="AI32" i="1"/>
  <c r="AE34" i="1"/>
  <c r="AI34" i="1"/>
  <c r="AI175" i="1"/>
  <c r="T57" i="3"/>
  <c r="T55" i="3"/>
  <c r="T61" i="3"/>
  <c r="T60" i="3"/>
  <c r="T58" i="3"/>
  <c r="T62" i="3"/>
  <c r="T16" i="3"/>
  <c r="AL157" i="1" l="1"/>
  <c r="Y130" i="1"/>
  <c r="AA139" i="1" l="1"/>
  <c r="AB183" i="1"/>
  <c r="AE183" i="1" s="1"/>
  <c r="AA111" i="1"/>
  <c r="AB130" i="1"/>
  <c r="AE130" i="1" s="1"/>
  <c r="AI183" i="1" l="1"/>
  <c r="AI130" i="1"/>
  <c r="T42" i="3" l="1"/>
  <c r="T39" i="3"/>
  <c r="AB158" i="1" l="1"/>
  <c r="AE158" i="1" s="1"/>
  <c r="AI158" i="1" l="1"/>
  <c r="AD143" i="1"/>
  <c r="AD40" i="1"/>
  <c r="AD38" i="1"/>
  <c r="AD37" i="1"/>
  <c r="AD42" i="1"/>
  <c r="T63" i="3" l="1"/>
  <c r="P63" i="3"/>
  <c r="M63" i="3"/>
  <c r="U4" i="3" l="1"/>
  <c r="U5" i="3"/>
  <c r="U6" i="3"/>
  <c r="U42" i="3"/>
  <c r="T46" i="3"/>
  <c r="M64" i="3"/>
  <c r="P64" i="3"/>
  <c r="M60" i="3"/>
  <c r="M59" i="3"/>
  <c r="P56" i="3" l="1"/>
  <c r="T41" i="3" l="1"/>
  <c r="T36" i="3"/>
  <c r="T35" i="3"/>
  <c r="U34" i="3"/>
  <c r="U43" i="3"/>
  <c r="U44" i="3"/>
  <c r="U35" i="3"/>
  <c r="U45" i="3"/>
  <c r="U46" i="3"/>
  <c r="U47" i="3"/>
  <c r="U7" i="3"/>
  <c r="U48" i="3"/>
  <c r="U38" i="3"/>
  <c r="U49" i="3"/>
  <c r="U8" i="3"/>
  <c r="U9" i="3"/>
  <c r="U10" i="3"/>
  <c r="U11" i="3"/>
  <c r="U12" i="3"/>
  <c r="U13" i="3"/>
  <c r="U14" i="3"/>
  <c r="U39" i="3"/>
  <c r="U50" i="3"/>
  <c r="U51" i="3"/>
  <c r="U15" i="3"/>
  <c r="U16" i="3"/>
  <c r="U17" i="3"/>
  <c r="U18" i="3"/>
  <c r="U19" i="3"/>
  <c r="U20" i="3"/>
  <c r="U52" i="3"/>
  <c r="U53" i="3"/>
  <c r="U21" i="3"/>
  <c r="U22" i="3"/>
  <c r="U23" i="3"/>
  <c r="U24" i="3"/>
  <c r="U25" i="3"/>
  <c r="U26" i="3"/>
  <c r="U27" i="3"/>
  <c r="U28" i="3"/>
  <c r="U54" i="3"/>
  <c r="U29" i="3"/>
  <c r="U30" i="3"/>
  <c r="U31" i="3"/>
  <c r="U32" i="3"/>
  <c r="U40" i="3"/>
  <c r="U33" i="3"/>
  <c r="U55" i="3"/>
  <c r="U56" i="3"/>
  <c r="U57" i="3"/>
  <c r="U58" i="3"/>
  <c r="U59" i="3"/>
  <c r="U60" i="3"/>
  <c r="U61" i="3"/>
  <c r="U62" i="3"/>
  <c r="U63" i="3"/>
  <c r="U64" i="3"/>
  <c r="U65" i="3"/>
  <c r="U66" i="3"/>
  <c r="U67" i="3"/>
  <c r="U68" i="3"/>
  <c r="Q67" i="3" l="1"/>
  <c r="Q68" i="3"/>
  <c r="Q66" i="3"/>
  <c r="Q65" i="3"/>
  <c r="Q63" i="3" l="1"/>
  <c r="Q64" i="3"/>
  <c r="Q62" i="3"/>
  <c r="Q61" i="3"/>
  <c r="Q60" i="3"/>
  <c r="Q59" i="3"/>
  <c r="Q58" i="3"/>
  <c r="Q57" i="3"/>
  <c r="Q56" i="3"/>
  <c r="Q55" i="3" l="1"/>
  <c r="P41" i="3"/>
  <c r="U41" i="3" s="1"/>
  <c r="M41" i="3"/>
  <c r="Q29" i="3"/>
  <c r="Q30" i="3"/>
  <c r="Q31" i="3"/>
  <c r="Q32" i="3"/>
  <c r="Q40" i="3"/>
  <c r="Q33" i="3"/>
  <c r="Q41" i="3" l="1"/>
  <c r="Q10" i="3"/>
  <c r="Q11" i="3"/>
  <c r="Q12" i="3"/>
  <c r="Q13" i="3"/>
  <c r="Q14" i="3"/>
  <c r="Q39" i="3"/>
  <c r="Q50" i="3"/>
  <c r="Q51" i="3"/>
  <c r="Q15" i="3"/>
  <c r="Q16" i="3"/>
  <c r="Q17" i="3"/>
  <c r="Q18" i="3"/>
  <c r="Q19" i="3"/>
  <c r="Q20" i="3"/>
  <c r="Q52" i="3"/>
  <c r="Q53" i="3"/>
  <c r="Q22" i="3"/>
  <c r="Q23" i="3"/>
  <c r="Q24" i="3"/>
  <c r="Q25" i="3"/>
  <c r="Q26" i="3"/>
  <c r="Q27" i="3"/>
  <c r="Q28" i="3"/>
  <c r="Q54" i="3"/>
  <c r="Q9" i="3"/>
  <c r="Q8" i="3"/>
  <c r="P37" i="3"/>
  <c r="U37" i="3" s="1"/>
  <c r="M37" i="3"/>
  <c r="Q6" i="3"/>
  <c r="Q47" i="3"/>
  <c r="Q7" i="3"/>
  <c r="Q48" i="3"/>
  <c r="Q38" i="3"/>
  <c r="Q49" i="3"/>
  <c r="P36" i="3"/>
  <c r="M36" i="3"/>
  <c r="Q44" i="3"/>
  <c r="Q35" i="3"/>
  <c r="Q5" i="3"/>
  <c r="Q45" i="3"/>
  <c r="Q46" i="3"/>
  <c r="Q34" i="3"/>
  <c r="Q43" i="3"/>
  <c r="Q4" i="3"/>
  <c r="Q42" i="3"/>
  <c r="Q36" i="3" l="1"/>
  <c r="U36" i="3"/>
  <c r="Q37" i="3"/>
  <c r="AB26" i="1" l="1"/>
  <c r="AB25" i="1"/>
  <c r="AB24" i="1"/>
  <c r="AE24" i="1" l="1"/>
  <c r="AI24" i="1"/>
  <c r="AI25" i="1"/>
  <c r="AE25" i="1"/>
  <c r="AI26" i="1"/>
  <c r="AE26" i="1"/>
  <c r="N18" i="1"/>
  <c r="AB18" i="1" s="1"/>
  <c r="N63" i="1"/>
  <c r="N62" i="1"/>
  <c r="AI18" i="1" l="1"/>
  <c r="AE18" i="1"/>
  <c r="I46" i="2"/>
  <c r="H46" i="2" l="1"/>
  <c r="AB172" i="1" l="1"/>
  <c r="N155" i="1"/>
  <c r="AI172" i="1" l="1"/>
  <c r="AE172" i="1"/>
  <c r="N44" i="1"/>
  <c r="AB59" i="1"/>
  <c r="AB58" i="1"/>
  <c r="AE59" i="1" l="1"/>
  <c r="AI59" i="1"/>
  <c r="AI58" i="1"/>
  <c r="AE58" i="1"/>
  <c r="N150" i="1"/>
  <c r="AB151" i="1"/>
  <c r="AI151" i="1" l="1"/>
  <c r="AE151" i="1"/>
  <c r="N66" i="1"/>
  <c r="N65" i="1"/>
  <c r="N64" i="1"/>
  <c r="N43" i="1"/>
  <c r="N42" i="1"/>
  <c r="N41" i="1"/>
  <c r="N40" i="1"/>
  <c r="N39" i="1"/>
  <c r="N38" i="1"/>
  <c r="N37" i="1"/>
  <c r="N31" i="1"/>
  <c r="N30" i="1"/>
  <c r="N29" i="1"/>
  <c r="N28" i="1"/>
  <c r="N27" i="1"/>
  <c r="N22" i="1"/>
  <c r="N21" i="1"/>
  <c r="N20" i="1"/>
  <c r="N19" i="1"/>
  <c r="N17" i="1"/>
  <c r="N16" i="1"/>
  <c r="N15" i="1"/>
  <c r="N11" i="1" l="1"/>
  <c r="N10" i="1"/>
  <c r="N9" i="1"/>
  <c r="N5" i="1"/>
  <c r="N4" i="1"/>
  <c r="N3" i="1"/>
  <c r="AB117" i="1" l="1"/>
  <c r="N116" i="1"/>
  <c r="AB178" i="1"/>
  <c r="AI178" i="1" l="1"/>
  <c r="AE178" i="1"/>
  <c r="AI117" i="1"/>
  <c r="AE117" i="1"/>
  <c r="F20" i="4"/>
  <c r="E20" i="4"/>
  <c r="D20" i="4"/>
  <c r="C20" i="4"/>
  <c r="G19" i="4"/>
  <c r="G18" i="4"/>
  <c r="G17" i="4"/>
  <c r="F16" i="4"/>
  <c r="E16" i="4"/>
  <c r="D16" i="4"/>
  <c r="C16" i="4"/>
  <c r="G15" i="4"/>
  <c r="G14" i="4"/>
  <c r="G13" i="4"/>
  <c r="G12" i="4"/>
  <c r="G11" i="4"/>
  <c r="G10" i="4"/>
  <c r="G9" i="4"/>
  <c r="G8" i="4"/>
  <c r="F7" i="4"/>
  <c r="E7" i="4"/>
  <c r="D7" i="4"/>
  <c r="C7" i="4"/>
  <c r="G6" i="4"/>
  <c r="G5" i="4"/>
  <c r="G4" i="4"/>
  <c r="G3" i="4"/>
  <c r="E21" i="4" l="1"/>
  <c r="G16" i="4"/>
  <c r="G7" i="4"/>
  <c r="C21" i="4"/>
  <c r="D21" i="4"/>
  <c r="F21" i="4"/>
  <c r="G20" i="4"/>
  <c r="T11" i="5"/>
  <c r="D4" i="5"/>
  <c r="AB126" i="1"/>
  <c r="N125" i="1"/>
  <c r="G21" i="4" l="1"/>
  <c r="AE126" i="1"/>
  <c r="AI126" i="1"/>
  <c r="N176" i="1"/>
  <c r="N140" i="1"/>
  <c r="N119" i="1"/>
  <c r="N128" i="1"/>
  <c r="N122" i="1"/>
  <c r="N121" i="1"/>
  <c r="N120" i="1"/>
  <c r="N169" i="1"/>
  <c r="N168" i="1"/>
  <c r="N167" i="1"/>
  <c r="N173" i="1"/>
  <c r="N134" i="1"/>
  <c r="N133" i="1"/>
  <c r="N184" i="1" l="1"/>
  <c r="AB184" i="1" l="1"/>
  <c r="AE184" i="1" s="1"/>
  <c r="AB182" i="1"/>
  <c r="AB180" i="1"/>
  <c r="AB179" i="1"/>
  <c r="AB174" i="1"/>
  <c r="AB171" i="1"/>
  <c r="AB170" i="1"/>
  <c r="AB169" i="1"/>
  <c r="AB168" i="1"/>
  <c r="AB167" i="1"/>
  <c r="AB165" i="1"/>
  <c r="AB163" i="1"/>
  <c r="AB162" i="1"/>
  <c r="AB161" i="1"/>
  <c r="AB160" i="1"/>
  <c r="AB159" i="1"/>
  <c r="AB157" i="1"/>
  <c r="AB156" i="1"/>
  <c r="AE156" i="1" s="1"/>
  <c r="AB155" i="1"/>
  <c r="AB154" i="1"/>
  <c r="AE154" i="1" s="1"/>
  <c r="AB153" i="1"/>
  <c r="AB152" i="1"/>
  <c r="AB150" i="1"/>
  <c r="AB149" i="1"/>
  <c r="AB144" i="1"/>
  <c r="AB141" i="1"/>
  <c r="AB136" i="1"/>
  <c r="AB135" i="1"/>
  <c r="AB134" i="1"/>
  <c r="AB133" i="1"/>
  <c r="AB131" i="1"/>
  <c r="AE131" i="1" s="1"/>
  <c r="AB129" i="1"/>
  <c r="AB128" i="1"/>
  <c r="AB127" i="1"/>
  <c r="AB125" i="1"/>
  <c r="AB124" i="1"/>
  <c r="AE124" i="1" s="1"/>
  <c r="AB123" i="1"/>
  <c r="AB122" i="1"/>
  <c r="AB121" i="1"/>
  <c r="AB120" i="1"/>
  <c r="AB119" i="1"/>
  <c r="AB116" i="1"/>
  <c r="AB115" i="1"/>
  <c r="AB114" i="1"/>
  <c r="AB112" i="1"/>
  <c r="AB111" i="1"/>
  <c r="AB108" i="1"/>
  <c r="AE108" i="1" s="1"/>
  <c r="AB107" i="1"/>
  <c r="AB105" i="1"/>
  <c r="AB103" i="1"/>
  <c r="AB100" i="1"/>
  <c r="AB99" i="1"/>
  <c r="AB98" i="1"/>
  <c r="AB96" i="1"/>
  <c r="AB94" i="1"/>
  <c r="AB92" i="1"/>
  <c r="AB91" i="1"/>
  <c r="AB87" i="1"/>
  <c r="AB77" i="1"/>
  <c r="AB74" i="1"/>
  <c r="AB73" i="1"/>
  <c r="AB69" i="1"/>
  <c r="AB68" i="1"/>
  <c r="AB67" i="1"/>
  <c r="AB66" i="1"/>
  <c r="AB65" i="1"/>
  <c r="AB64" i="1"/>
  <c r="AB63" i="1"/>
  <c r="AB62" i="1"/>
  <c r="AB57" i="1"/>
  <c r="AB56" i="1"/>
  <c r="AB55" i="1"/>
  <c r="AB54" i="1"/>
  <c r="AB53" i="1"/>
  <c r="AB51" i="1"/>
  <c r="AB45" i="1"/>
  <c r="AB44" i="1"/>
  <c r="AB43" i="1"/>
  <c r="AB42" i="1"/>
  <c r="AB41" i="1"/>
  <c r="AB40" i="1"/>
  <c r="AB39" i="1"/>
  <c r="AB38" i="1"/>
  <c r="AB37" i="1"/>
  <c r="AB31" i="1"/>
  <c r="AB30" i="1"/>
  <c r="AB29" i="1"/>
  <c r="AB28" i="1"/>
  <c r="AB27" i="1"/>
  <c r="AB23" i="1"/>
  <c r="AB22" i="1"/>
  <c r="AB21" i="1"/>
  <c r="AB20" i="1"/>
  <c r="AB19" i="1"/>
  <c r="AB17" i="1"/>
  <c r="AB16" i="1"/>
  <c r="AB15" i="1"/>
  <c r="AB14" i="1"/>
  <c r="AB13" i="1"/>
  <c r="AB12" i="1"/>
  <c r="AB11" i="1"/>
  <c r="AB10" i="1"/>
  <c r="AB9" i="1"/>
  <c r="AB8" i="1"/>
  <c r="AB7" i="1"/>
  <c r="AB5" i="1"/>
  <c r="AB4" i="1"/>
  <c r="AB3" i="1"/>
  <c r="N93" i="1"/>
  <c r="AB93" i="1" s="1"/>
  <c r="N52" i="1"/>
  <c r="AE93" i="1" l="1"/>
  <c r="AI93" i="1"/>
  <c r="AE11" i="1"/>
  <c r="AI11" i="1"/>
  <c r="AE20" i="1"/>
  <c r="AI20" i="1"/>
  <c r="AE31" i="1"/>
  <c r="AI31" i="1"/>
  <c r="AE51" i="1"/>
  <c r="AI51" i="1"/>
  <c r="AI62" i="1"/>
  <c r="AE62" i="1"/>
  <c r="AI96" i="1"/>
  <c r="AE96" i="1"/>
  <c r="AE114" i="1"/>
  <c r="AI114" i="1"/>
  <c r="AI129" i="1"/>
  <c r="AE129" i="1"/>
  <c r="AI154" i="1"/>
  <c r="AI169" i="1"/>
  <c r="AE169" i="1"/>
  <c r="AE8" i="1"/>
  <c r="AI8" i="1"/>
  <c r="AI16" i="1"/>
  <c r="AE16" i="1"/>
  <c r="AE28" i="1"/>
  <c r="AI28" i="1"/>
  <c r="AE43" i="1"/>
  <c r="AI43" i="1"/>
  <c r="AI57" i="1"/>
  <c r="AE57" i="1"/>
  <c r="AI73" i="1"/>
  <c r="AE73" i="1"/>
  <c r="AI103" i="1"/>
  <c r="AE103" i="1"/>
  <c r="AE115" i="1"/>
  <c r="AI115" i="1"/>
  <c r="AI131" i="1"/>
  <c r="AI150" i="1"/>
  <c r="AE150" i="1"/>
  <c r="AI160" i="1"/>
  <c r="AE160" i="1"/>
  <c r="AE180" i="1"/>
  <c r="AI180" i="1"/>
  <c r="AI13" i="1"/>
  <c r="AE13" i="1"/>
  <c r="AI22" i="1"/>
  <c r="AE22" i="1"/>
  <c r="AI40" i="1"/>
  <c r="AE40" i="1"/>
  <c r="AI44" i="1"/>
  <c r="AE44" i="1"/>
  <c r="AI54" i="1"/>
  <c r="AE54" i="1"/>
  <c r="AE64" i="1"/>
  <c r="AI64" i="1"/>
  <c r="AE68" i="1"/>
  <c r="AI68" i="1"/>
  <c r="AI74" i="1"/>
  <c r="AE74" i="1"/>
  <c r="AE92" i="1"/>
  <c r="AI92" i="1"/>
  <c r="AI99" i="1"/>
  <c r="AE99" i="1"/>
  <c r="AI105" i="1"/>
  <c r="AE105" i="1"/>
  <c r="AE111" i="1"/>
  <c r="AI111" i="1"/>
  <c r="AI116" i="1"/>
  <c r="AE116" i="1"/>
  <c r="AE122" i="1"/>
  <c r="AI122" i="1"/>
  <c r="AE127" i="1"/>
  <c r="AI127" i="1"/>
  <c r="AI133" i="1"/>
  <c r="AE133" i="1"/>
  <c r="AI141" i="1"/>
  <c r="AE141" i="1"/>
  <c r="AE152" i="1"/>
  <c r="AI152" i="1"/>
  <c r="AI156" i="1"/>
  <c r="AE161" i="1"/>
  <c r="AI161" i="1"/>
  <c r="AE167" i="1"/>
  <c r="AI167" i="1"/>
  <c r="AE171" i="1"/>
  <c r="AI171" i="1"/>
  <c r="AE182" i="1"/>
  <c r="AI182" i="1"/>
  <c r="AE7" i="1"/>
  <c r="AI7" i="1"/>
  <c r="AE15" i="1"/>
  <c r="AI15" i="1"/>
  <c r="AE27" i="1"/>
  <c r="AI27" i="1"/>
  <c r="AE38" i="1"/>
  <c r="AI38" i="1"/>
  <c r="AE42" i="1"/>
  <c r="AI42" i="1"/>
  <c r="AE56" i="1"/>
  <c r="AI56" i="1"/>
  <c r="AI66" i="1"/>
  <c r="AE66" i="1"/>
  <c r="AI87" i="1"/>
  <c r="AE87" i="1"/>
  <c r="AE107" i="1"/>
  <c r="AI107" i="1"/>
  <c r="AI120" i="1"/>
  <c r="AE120" i="1"/>
  <c r="AI124" i="1"/>
  <c r="AE135" i="1"/>
  <c r="AI135" i="1"/>
  <c r="AE149" i="1"/>
  <c r="AI149" i="1"/>
  <c r="AI159" i="1"/>
  <c r="AE159" i="1"/>
  <c r="AI163" i="1"/>
  <c r="AE163" i="1"/>
  <c r="AI179" i="1"/>
  <c r="AE179" i="1"/>
  <c r="AE3" i="1"/>
  <c r="AI3" i="1"/>
  <c r="AE12" i="1"/>
  <c r="AI12" i="1"/>
  <c r="AI21" i="1"/>
  <c r="AE21" i="1"/>
  <c r="AE39" i="1"/>
  <c r="AI39" i="1"/>
  <c r="AI53" i="1"/>
  <c r="AE53" i="1"/>
  <c r="AE63" i="1"/>
  <c r="AI63" i="1"/>
  <c r="AE67" i="1"/>
  <c r="AI67" i="1"/>
  <c r="AI91" i="1"/>
  <c r="AE91" i="1"/>
  <c r="AE98" i="1"/>
  <c r="AI98" i="1"/>
  <c r="AI108" i="1"/>
  <c r="AI121" i="1"/>
  <c r="AE121" i="1"/>
  <c r="AI125" i="1"/>
  <c r="AE125" i="1"/>
  <c r="AE136" i="1"/>
  <c r="AI136" i="1"/>
  <c r="AI155" i="1"/>
  <c r="AE155" i="1"/>
  <c r="AE165" i="1"/>
  <c r="AI165" i="1"/>
  <c r="AE170" i="1"/>
  <c r="AI170" i="1"/>
  <c r="AI4" i="1"/>
  <c r="AE4" i="1"/>
  <c r="AI9" i="1"/>
  <c r="AE9" i="1"/>
  <c r="AI17" i="1"/>
  <c r="AE17" i="1"/>
  <c r="AI29" i="1"/>
  <c r="AE29" i="1"/>
  <c r="AI5" i="1"/>
  <c r="AE5" i="1"/>
  <c r="AI10" i="1"/>
  <c r="AE10" i="1"/>
  <c r="AI14" i="1"/>
  <c r="AE14" i="1"/>
  <c r="AE19" i="1"/>
  <c r="AI19" i="1"/>
  <c r="AE23" i="1"/>
  <c r="AI23" i="1"/>
  <c r="AI30" i="1"/>
  <c r="AE30" i="1"/>
  <c r="AI37" i="1"/>
  <c r="AE37" i="1"/>
  <c r="AI41" i="1"/>
  <c r="AE41" i="1"/>
  <c r="AI45" i="1"/>
  <c r="AE45" i="1"/>
  <c r="AE55" i="1"/>
  <c r="AI55" i="1"/>
  <c r="AI65" i="1"/>
  <c r="AE65" i="1"/>
  <c r="AI69" i="1"/>
  <c r="AE69" i="1"/>
  <c r="AI77" i="1"/>
  <c r="AE77" i="1"/>
  <c r="AI94" i="1"/>
  <c r="AE94" i="1"/>
  <c r="AI100" i="1"/>
  <c r="AE100" i="1"/>
  <c r="AI112" i="1"/>
  <c r="AE112" i="1"/>
  <c r="AE119" i="1"/>
  <c r="AI119" i="1"/>
  <c r="AE123" i="1"/>
  <c r="AI123" i="1"/>
  <c r="AI128" i="1"/>
  <c r="AE128" i="1"/>
  <c r="AI134" i="1"/>
  <c r="AE134" i="1"/>
  <c r="AE144" i="1"/>
  <c r="AI144" i="1"/>
  <c r="AE153" i="1"/>
  <c r="AI153" i="1"/>
  <c r="AE157" i="1"/>
  <c r="AI157" i="1"/>
  <c r="AE162" i="1"/>
  <c r="AI162" i="1"/>
  <c r="AI168" i="1"/>
  <c r="AE168" i="1"/>
  <c r="AE174" i="1"/>
  <c r="AI174" i="1"/>
  <c r="AI184" i="1"/>
  <c r="AB52" i="1"/>
  <c r="AB176" i="1"/>
  <c r="AB173" i="1"/>
  <c r="N164" i="1"/>
  <c r="AB164" i="1" s="1"/>
  <c r="N148" i="1"/>
  <c r="AB148" i="1" s="1"/>
  <c r="AE148" i="1" s="1"/>
  <c r="N146" i="1"/>
  <c r="AB146" i="1" s="1"/>
  <c r="N145" i="1"/>
  <c r="AB145" i="1" s="1"/>
  <c r="N143" i="1"/>
  <c r="AB143" i="1" s="1"/>
  <c r="N142" i="1"/>
  <c r="AB142" i="1" s="1"/>
  <c r="AB140" i="1"/>
  <c r="N139" i="1"/>
  <c r="AB139" i="1" s="1"/>
  <c r="N138" i="1"/>
  <c r="AB138" i="1" s="1"/>
  <c r="N137" i="1"/>
  <c r="AB137" i="1" s="1"/>
  <c r="N132" i="1"/>
  <c r="AB132" i="1" s="1"/>
  <c r="AE132" i="1" s="1"/>
  <c r="N118" i="1"/>
  <c r="AB118" i="1" s="1"/>
  <c r="N113" i="1"/>
  <c r="AE140" i="1" l="1"/>
  <c r="AI140" i="1"/>
  <c r="AE176" i="1"/>
  <c r="AI176" i="1"/>
  <c r="AI137" i="1"/>
  <c r="AE137" i="1"/>
  <c r="AE52" i="1"/>
  <c r="AI52" i="1"/>
  <c r="AE143" i="1"/>
  <c r="AI143" i="1"/>
  <c r="AI132" i="1"/>
  <c r="AI146" i="1"/>
  <c r="AE146" i="1"/>
  <c r="AI142" i="1"/>
  <c r="AE142" i="1"/>
  <c r="AI148" i="1"/>
  <c r="AI138" i="1"/>
  <c r="AE138" i="1"/>
  <c r="AI164" i="1"/>
  <c r="AE164" i="1"/>
  <c r="AE118" i="1"/>
  <c r="AI118" i="1"/>
  <c r="AI139" i="1"/>
  <c r="AI145" i="1"/>
  <c r="AE145" i="1"/>
  <c r="AI173" i="1"/>
  <c r="AE173" i="1"/>
  <c r="AB113" i="1"/>
  <c r="N110" i="1"/>
  <c r="AB110" i="1" s="1"/>
  <c r="N109" i="1"/>
  <c r="AB109" i="1" s="1"/>
  <c r="N97" i="1"/>
  <c r="AB97" i="1" s="1"/>
  <c r="AE97" i="1" s="1"/>
  <c r="N86" i="1"/>
  <c r="AB86" i="1" s="1"/>
  <c r="N85" i="1"/>
  <c r="AB85" i="1" s="1"/>
  <c r="N82" i="1"/>
  <c r="AB82" i="1" s="1"/>
  <c r="N76" i="1"/>
  <c r="AB76" i="1" s="1"/>
  <c r="N75" i="1"/>
  <c r="AB75" i="1" s="1"/>
  <c r="AE85" i="1" l="1"/>
  <c r="AI85" i="1"/>
  <c r="AE86" i="1"/>
  <c r="AI86" i="1"/>
  <c r="AI97" i="1"/>
  <c r="AE110" i="1"/>
  <c r="AI110" i="1"/>
  <c r="AE75" i="1"/>
  <c r="AI75" i="1"/>
  <c r="AI113" i="1"/>
  <c r="AE113" i="1"/>
  <c r="AE76" i="1"/>
  <c r="AI76" i="1"/>
  <c r="AI82" i="1"/>
  <c r="AE82" i="1"/>
  <c r="AI109" i="1"/>
  <c r="AE109" i="1"/>
  <c r="B4" i="5"/>
  <c r="B5" i="5" s="1"/>
  <c r="G103" i="2"/>
  <c r="G102" i="2"/>
  <c r="G101" i="2"/>
  <c r="G100" i="2"/>
  <c r="G99" i="2"/>
  <c r="G98" i="2"/>
  <c r="G97" i="2"/>
  <c r="G96" i="2"/>
  <c r="G95" i="2"/>
  <c r="G94" i="2"/>
  <c r="G93" i="2"/>
  <c r="G92" i="2"/>
  <c r="G91" i="2"/>
  <c r="G90" i="2"/>
  <c r="G89" i="2"/>
  <c r="G88"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5" i="2"/>
  <c r="G44" i="2"/>
  <c r="G43" i="2"/>
  <c r="G42" i="2"/>
  <c r="I41" i="2"/>
  <c r="I47" i="2" s="1"/>
  <c r="H41" i="2"/>
  <c r="H47" i="2" s="1"/>
  <c r="G40" i="2"/>
  <c r="G41" i="2" s="1"/>
  <c r="E40" i="2"/>
  <c r="H38" i="2"/>
  <c r="G38" i="2"/>
  <c r="I36" i="2"/>
  <c r="I38" i="2" s="1"/>
  <c r="H32" i="2"/>
  <c r="G31" i="2"/>
  <c r="G30" i="2"/>
  <c r="I29" i="2"/>
  <c r="G29" i="2"/>
  <c r="I28" i="2"/>
  <c r="G28" i="2"/>
  <c r="I27" i="2"/>
  <c r="G27" i="2"/>
  <c r="G26" i="2"/>
  <c r="G25" i="2"/>
  <c r="G24" i="2"/>
  <c r="I23" i="2"/>
  <c r="G23" i="2"/>
  <c r="I22" i="2"/>
  <c r="G22" i="2"/>
  <c r="H21" i="2"/>
  <c r="E21" i="2"/>
  <c r="I20" i="2"/>
  <c r="G20" i="2"/>
  <c r="I19" i="2"/>
  <c r="G19" i="2"/>
  <c r="G18" i="2"/>
  <c r="I17" i="2"/>
  <c r="G17" i="2"/>
  <c r="I16" i="2"/>
  <c r="G16" i="2"/>
  <c r="I15" i="2"/>
  <c r="G15" i="2"/>
  <c r="I14" i="2"/>
  <c r="G14" i="2"/>
  <c r="I13" i="2"/>
  <c r="G13" i="2"/>
  <c r="I12" i="2"/>
  <c r="G12" i="2"/>
  <c r="I11" i="2"/>
  <c r="G11" i="2"/>
  <c r="I10" i="2"/>
  <c r="G10" i="2"/>
  <c r="I9" i="2"/>
  <c r="G9" i="2"/>
  <c r="I8" i="2"/>
  <c r="G8" i="2"/>
  <c r="I7" i="2"/>
  <c r="G7" i="2"/>
  <c r="I6" i="2"/>
  <c r="G6" i="2"/>
  <c r="I5" i="2"/>
  <c r="G5" i="2"/>
  <c r="I4" i="2"/>
  <c r="G2" i="2"/>
  <c r="G46" i="2" l="1"/>
  <c r="G47" i="2" s="1"/>
  <c r="I32" i="2"/>
  <c r="G32" i="2"/>
  <c r="I21" i="2"/>
  <c r="G21" i="2"/>
  <c r="AE139" i="1"/>
  <c r="G10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presupuesto</author>
  </authors>
  <commentList>
    <comment ref="AD49" authorId="0" shapeId="0" xr:uid="{00000000-0006-0000-0000-000001000000}">
      <text>
        <r>
          <rPr>
            <b/>
            <sz val="9"/>
            <color indexed="81"/>
            <rFont val="Tahoma"/>
            <family val="2"/>
          </rPr>
          <t>presupuesto:</t>
        </r>
        <r>
          <rPr>
            <sz val="9"/>
            <color indexed="81"/>
            <rFont val="Tahoma"/>
            <family val="2"/>
          </rPr>
          <t xml:space="preserve">
773.969 SE DEBEN LIBERAR</t>
        </r>
      </text>
    </comment>
    <comment ref="AD58" authorId="0" shapeId="0" xr:uid="{00000000-0006-0000-0000-000002000000}">
      <text>
        <r>
          <rPr>
            <b/>
            <sz val="9"/>
            <color indexed="81"/>
            <rFont val="Tahoma"/>
            <family val="2"/>
          </rPr>
          <t>presupuesto:</t>
        </r>
        <r>
          <rPr>
            <sz val="9"/>
            <color indexed="81"/>
            <rFont val="Tahoma"/>
            <family val="2"/>
          </rPr>
          <t xml:space="preserve">
4.938 SE DEBEN LIBERAR
</t>
        </r>
      </text>
    </comment>
    <comment ref="AD68" authorId="0" shapeId="0" xr:uid="{00000000-0006-0000-0000-000003000000}">
      <text>
        <r>
          <rPr>
            <b/>
            <sz val="9"/>
            <color indexed="81"/>
            <rFont val="Tahoma"/>
            <family val="2"/>
          </rPr>
          <t>presupuesto:</t>
        </r>
        <r>
          <rPr>
            <sz val="9"/>
            <color indexed="81"/>
            <rFont val="Tahoma"/>
            <family val="2"/>
          </rPr>
          <t xml:space="preserve">
ANULADO CDP 20321
</t>
        </r>
      </text>
    </comment>
    <comment ref="AH68" authorId="0" shapeId="0" xr:uid="{00000000-0006-0000-0000-000004000000}">
      <text>
        <r>
          <rPr>
            <b/>
            <sz val="9"/>
            <color indexed="81"/>
            <rFont val="Tahoma"/>
            <family val="2"/>
          </rPr>
          <t>presupuesto:</t>
        </r>
        <r>
          <rPr>
            <sz val="9"/>
            <color indexed="81"/>
            <rFont val="Tahoma"/>
            <family val="2"/>
          </rPr>
          <t xml:space="preserve">
ANULADO CDP 20321
</t>
        </r>
      </text>
    </comment>
    <comment ref="AL68" authorId="0" shapeId="0" xr:uid="{00000000-0006-0000-0000-000005000000}">
      <text>
        <r>
          <rPr>
            <b/>
            <sz val="9"/>
            <color indexed="81"/>
            <rFont val="Tahoma"/>
            <family val="2"/>
          </rPr>
          <t>presupuesto:</t>
        </r>
        <r>
          <rPr>
            <sz val="9"/>
            <color indexed="81"/>
            <rFont val="Tahoma"/>
            <family val="2"/>
          </rPr>
          <t xml:space="preserve">
ANULADO CDP 20321
</t>
        </r>
      </text>
    </comment>
    <comment ref="AE115" authorId="0" shapeId="0" xr:uid="{00000000-0006-0000-0000-000006000000}">
      <text>
        <r>
          <rPr>
            <b/>
            <sz val="9"/>
            <color indexed="81"/>
            <rFont val="Tahoma"/>
            <family val="2"/>
          </rPr>
          <t>RECURSOS PARA TRASLADO POR ACUERDO</t>
        </r>
      </text>
    </comment>
    <comment ref="AI115" authorId="0" shapeId="0" xr:uid="{00000000-0006-0000-0000-000007000000}">
      <text>
        <r>
          <rPr>
            <b/>
            <sz val="9"/>
            <color indexed="81"/>
            <rFont val="Tahoma"/>
            <family val="2"/>
          </rPr>
          <t>RECURSOS PARA TRASLADO POR ACUERDO</t>
        </r>
      </text>
    </comment>
    <comment ref="AE120" authorId="0" shapeId="0" xr:uid="{00000000-0006-0000-0000-000008000000}">
      <text>
        <r>
          <rPr>
            <b/>
            <sz val="9"/>
            <color indexed="81"/>
            <rFont val="Tahoma"/>
            <family val="2"/>
          </rPr>
          <t>RECURSOS PARA TRASLADO POR ACUERDO</t>
        </r>
        <r>
          <rPr>
            <sz val="9"/>
            <color indexed="81"/>
            <rFont val="Tahoma"/>
            <family val="2"/>
          </rPr>
          <t xml:space="preserve">
</t>
        </r>
      </text>
    </comment>
    <comment ref="AI120" authorId="0" shapeId="0" xr:uid="{00000000-0006-0000-0000-000009000000}">
      <text>
        <r>
          <rPr>
            <b/>
            <sz val="9"/>
            <color indexed="81"/>
            <rFont val="Tahoma"/>
            <family val="2"/>
          </rPr>
          <t>RECURSOS PARA TRASLADO POR ACUERDO</t>
        </r>
      </text>
    </comment>
    <comment ref="AB159" authorId="0" shapeId="0" xr:uid="{00000000-0006-0000-0000-00000A000000}">
      <text>
        <r>
          <rPr>
            <b/>
            <sz val="9"/>
            <color indexed="81"/>
            <rFont val="Tahoma"/>
            <family val="2"/>
          </rPr>
          <t>SACAR 2.000.000 PARA ACUERDO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3" authorId="0" shapeId="0" xr:uid="{00000000-0006-0000-0100-000001000000}">
      <text>
        <r>
          <rPr>
            <b/>
            <sz val="12"/>
            <color indexed="81"/>
            <rFont val="Tahoma"/>
            <family val="2"/>
          </rPr>
          <t>OAP: Seleccione una opción de lo que se encuentra en la lista</t>
        </r>
        <r>
          <rPr>
            <sz val="9"/>
            <color indexed="81"/>
            <rFont val="Tahoma"/>
            <family val="2"/>
          </rPr>
          <t xml:space="preserve">
</t>
        </r>
      </text>
    </comment>
    <comment ref="M3" authorId="0" shapeId="0" xr:uid="{00000000-0006-0000-0100-000002000000}">
      <text>
        <r>
          <rPr>
            <b/>
            <sz val="12"/>
            <color indexed="81"/>
            <rFont val="Tahoma"/>
            <family val="2"/>
          </rPr>
          <t>OAP:Los contratos de prestación de servicios deben registrarse con el mismo valor del año 2020 (Sin incremento) y detallando el valor mensual por el número de meses. Por ejemplo: =3000000*11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4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sharedStrings.xml><?xml version="1.0" encoding="utf-8"?>
<sst xmlns="http://schemas.openxmlformats.org/spreadsheetml/2006/main" count="4741" uniqueCount="1032">
  <si>
    <t>CCP</t>
  </si>
  <si>
    <t>Proyecto de inversión</t>
  </si>
  <si>
    <t>CPA</t>
  </si>
  <si>
    <t>Meta Plan Estratégico</t>
  </si>
  <si>
    <t>Proceso Responsable</t>
  </si>
  <si>
    <t>CÓDIGO UNSPSC</t>
  </si>
  <si>
    <t>Descripción del contrato</t>
  </si>
  <si>
    <t xml:space="preserve">Fecha estimada de inicio de proceso de selección </t>
  </si>
  <si>
    <t>Fecha estimada de presentación de ofertas (Número del mes)</t>
  </si>
  <si>
    <t>Duración estimada del contrato (Número de meses)</t>
  </si>
  <si>
    <t>Duración estimada del contrato (intervalo: días, meses, años)</t>
  </si>
  <si>
    <t xml:space="preserve">Modalidad de selección </t>
  </si>
  <si>
    <t>Fuente de los Recursos</t>
  </si>
  <si>
    <t>Valor estimado en la vigencia actual 
(Valor inicial)</t>
  </si>
  <si>
    <t>¿Se requieren vigencias futuras?</t>
  </si>
  <si>
    <t>Estado de solicitud de vigencias futuras</t>
  </si>
  <si>
    <t>Unidad de contratación</t>
  </si>
  <si>
    <t>Ubicación</t>
  </si>
  <si>
    <t xml:space="preserve">Nombre del responsable </t>
  </si>
  <si>
    <t xml:space="preserve">Teléfono del responsable </t>
  </si>
  <si>
    <t xml:space="preserve">Correo electrónico del responsable </t>
  </si>
  <si>
    <t>Tipo de rubro de gasto</t>
  </si>
  <si>
    <t>Tipo de objeto de Gasto</t>
  </si>
  <si>
    <t>Nombre del Supervisor</t>
  </si>
  <si>
    <t xml:space="preserve">Crear </t>
  </si>
  <si>
    <t>Aumentar</t>
  </si>
  <si>
    <t>Reducir</t>
  </si>
  <si>
    <t>Valor real del contrato</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</si>
  <si>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</si>
  <si>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</si>
  <si>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</si>
  <si>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</si>
  <si>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</si>
  <si>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</si>
  <si>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</si>
  <si>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</si>
  <si>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</si>
  <si>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</si>
  <si>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</si>
  <si>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C-2203-0700-5-0-2203003-02</t>
  </si>
  <si>
    <t>PROYECTO MEJORAMIENTO DE LAS CONDICIONES PARA LA GARANTÍA DE LOS DERECHOS DE LAS PERSONAS CON DISCAPACIDAD VISUAL EN EL PAÍS</t>
  </si>
  <si>
    <t>MC-01</t>
  </si>
  <si>
    <t>Brindar asistencia técnica en educación a las entidades territoriales certificadas para  el mejoramiento de los procesos de atención de las personas con discapacidad visual</t>
  </si>
  <si>
    <t xml:space="preserve">Asistencia Técnica
</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</si>
  <si>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1</t>
  </si>
  <si>
    <t>Contratación directa</t>
  </si>
  <si>
    <t>NACION</t>
  </si>
  <si>
    <t>Gestión Contractual</t>
  </si>
  <si>
    <t>Bogotá, D.C.</t>
  </si>
  <si>
    <t>Pedro Andrade</t>
  </si>
  <si>
    <t>subdireccion@inci.gov.co</t>
  </si>
  <si>
    <t>INVERSIÓN</t>
  </si>
  <si>
    <t>CONTRATO  PRESTACIÓN SERVICIOS PROFESIONALES</t>
  </si>
  <si>
    <t>039-2021</t>
  </si>
  <si>
    <t>GARZON RAMOS MARIA NELSY</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</si>
  <si>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2</t>
  </si>
  <si>
    <t>040-2021</t>
  </si>
  <si>
    <t>PIRACUN CELI OSCAR NICOLAS</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</si>
  <si>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3</t>
  </si>
  <si>
    <t>2
Se modifica a 6</t>
  </si>
  <si>
    <t>2
Se modifica a 7</t>
  </si>
  <si>
    <t>10
Se modifica a 165 días</t>
  </si>
  <si>
    <t>Circular No 2</t>
  </si>
  <si>
    <t xml:space="preserve">Prestación de servicios profesionales para la construcción y publicación de documentos de interés para la población con discapacidad visual </t>
  </si>
  <si>
    <t>165   días</t>
  </si>
  <si>
    <t>No aplica</t>
  </si>
  <si>
    <t>Viáticos para el desarrollo de las comisiones de los servidores públicos del INCI en ejercicio de sus funciones</t>
  </si>
  <si>
    <t>No es contrato</t>
  </si>
  <si>
    <t>VIÁTICOS</t>
  </si>
  <si>
    <t xml:space="preserve">Tiquetes terrestres para el desplazamiento de los servidores públicos del INCI para el ejercicio de sus funciones  </t>
  </si>
  <si>
    <t>TIQUETE TERRESTRE</t>
  </si>
  <si>
    <t>Brindar asesoría a entidades públicas y privadas que generen condiciones de accesibilidad al espacio físico, a la información y al uso de tecnología especializada para las personas con discapacidad visual</t>
  </si>
  <si>
    <t>Prestar de servicios de apoyo a la gestión,brindando asistencia técnica en actividades relativas a la accesibilidad web y tecnología especializada, en el marco del proyecto de mejoramiento de condiciones para la garantía de los derechos de las personas con discapacidad visual del país</t>
  </si>
  <si>
    <t>CONTRATO PRESTACIÓN SERVICIOS (Técnico)</t>
  </si>
  <si>
    <t>Santiago Rodriguez</t>
  </si>
  <si>
    <t>042-2021</t>
  </si>
  <si>
    <t>LOPEZ RONIS</t>
  </si>
  <si>
    <t>Prestar servicios de apoyo a la gestión, brindando asistencia técnica en actividades relativas a la accesibilidad al medio físico, en el marco del  proyecto  mejoramiento de las condiciones para la  garantía de los derechos de las personas con discapacidad visual del país.</t>
  </si>
  <si>
    <t>019-2021</t>
  </si>
  <si>
    <t>MONTOYA GACHARNA MARIA PAULA</t>
  </si>
  <si>
    <t>Asesorar a las instancias competentes para promover la empleabilidad de las personas con discapacidad visual</t>
  </si>
  <si>
    <t>Prestación de servicios de apoyo a la gestión, brindando asistencia técnica y acompañamiento a las entidades en actividades relativas a la empleabilidad de las personas con D.V., en el marco del proyecto de mejoramiento de condiciones para la garantía de los derechos de las personas con discapacidad visual del país.</t>
  </si>
  <si>
    <t>Rosario Yepes</t>
  </si>
  <si>
    <t>018-2021</t>
  </si>
  <si>
    <t>VALBUENA PACHON ALEIDA MARCELA</t>
  </si>
  <si>
    <t>SERVICIO</t>
  </si>
  <si>
    <t>Desarrollar campañas de comunicación relacionadas con la temática de discapacidad visual y el quehacer institucional</t>
  </si>
  <si>
    <t>Comunicaciones</t>
  </si>
  <si>
    <t>Contratación de servicios profesionales para el diseño, construcción y administración de los canales digitales de comunicación del INCI</t>
  </si>
  <si>
    <t>Juan Esteban Gómez</t>
  </si>
  <si>
    <t>025-2021</t>
  </si>
  <si>
    <r>
      <t xml:space="preserve">Contratación de servicios profesionales para conseguir free press y la visualización de los mensajes institucionales en medios </t>
    </r>
    <r>
      <rPr>
        <sz val="11"/>
        <color theme="1"/>
        <rFont val="Arial"/>
        <family val="2"/>
      </rPr>
      <t>de comunicación.</t>
    </r>
  </si>
  <si>
    <t>023-2021</t>
  </si>
  <si>
    <t>CANO ALBORNOZ MARTHA PATRICIA</t>
  </si>
  <si>
    <t>Contratación de servicios profesionales para el diseño de piezas gráficas para los medios Institucionales</t>
  </si>
  <si>
    <t>024-2021</t>
  </si>
  <si>
    <t>PINZÓN PACANCHIQUE VIVIANA MARCELA</t>
  </si>
  <si>
    <t>C-2203-0700-5-0-2203018-02</t>
  </si>
  <si>
    <t>MC-02</t>
  </si>
  <si>
    <t>Producir y emitir contenidos radiales para promover la inclusión de las personas con discapacidad visual</t>
  </si>
  <si>
    <t>Producción radial y audiovisual</t>
  </si>
  <si>
    <t xml:space="preserve">Prestar servicios tecnólogicos y de apoyo a la gestión para llevar a cabo la locución y producción de contenidos radiales y web sobre los derechos de la población con discapacidad visual, de la programación de la emisora virtual INCIRadio."   
</t>
  </si>
  <si>
    <t xml:space="preserve">CONTRATO  PRESTACIÓN SERVICIOS </t>
  </si>
  <si>
    <t>Henry Díaz</t>
  </si>
  <si>
    <t>011-2021</t>
  </si>
  <si>
    <t>NICOLAS  MONROY SANZ</t>
  </si>
  <si>
    <t>Contratación de prestación de servicios profesionales para producción general y locución de contenidos radiales sobre los derechos de la población con discapacidad visual</t>
  </si>
  <si>
    <t>26-01.2021</t>
  </si>
  <si>
    <t>014-2021</t>
  </si>
  <si>
    <t>ADRIANA CATALINA PARDO GARCIA</t>
  </si>
  <si>
    <t>Prestación de servicios para el apoyo de producción radial, página web y contenidos web de la emisora INCI Radio</t>
  </si>
  <si>
    <t>013-2021</t>
  </si>
  <si>
    <t>CARLOS EDUARDO QUINTERO CALDERON</t>
  </si>
  <si>
    <t>Prestación de servicios para el apoyo de producción radial, redes sociales y contenidos web de la emisora INCI Radio</t>
  </si>
  <si>
    <t>012-2021</t>
  </si>
  <si>
    <t>CAMILO ANDRES GARNICA COBA</t>
  </si>
  <si>
    <t>Desarrollar talleres especializados en temas relacionados con la discapacidad visual</t>
  </si>
  <si>
    <t xml:space="preserve">Centro Cultural
</t>
  </si>
  <si>
    <t>Contratación de intérpretes y guías intérpretes para fortalecer la atención y participación de las personas sordas y sordociegas en las actividades y servicios del INCI</t>
  </si>
  <si>
    <t>PROPIOS 20</t>
  </si>
  <si>
    <t>Eliana Uribe</t>
  </si>
  <si>
    <t>Circular No 1
Circular No 2</t>
  </si>
  <si>
    <t>Producir y publicar en formatos accesibles documentos para personas con discapacidad visual</t>
  </si>
  <si>
    <t xml:space="preserve">Prestación de servicios de apoyo a la gestión, para la elaboración de textos en formatos accesibles </t>
  </si>
  <si>
    <t>Jhon Jairo Jiménez</t>
  </si>
  <si>
    <t>027-2021</t>
  </si>
  <si>
    <t>CHVES JARRO CLAUDIA LILIANA</t>
  </si>
  <si>
    <t>Circular No 1</t>
  </si>
  <si>
    <t>029-2021</t>
  </si>
  <si>
    <t>DIANA GUIOMAR BOLIVAR RODRIGUEZ</t>
  </si>
  <si>
    <t>Cristian Ospina</t>
  </si>
  <si>
    <t>028-2021</t>
  </si>
  <si>
    <t>GRAJALES SALINAS FREDDY ALEXANDER</t>
  </si>
  <si>
    <t>Prestación de servicios de apoyo a la gestión para la administración de la biblioteca virtual para ciegos.</t>
  </si>
  <si>
    <t xml:space="preserve">Enrique King </t>
  </si>
  <si>
    <t>015-2021</t>
  </si>
  <si>
    <t>WILLIAM JOHAN GUTIERREZ RODRIGUEZ</t>
  </si>
  <si>
    <t>Realizar exposiciones para personas con discapacidad visual y público en general en la sala multisensorial</t>
  </si>
  <si>
    <t xml:space="preserve">Prestación de servicios de apoyo a la gestión para promover la inclusión sociocultural de las personas con discapacidad visual. </t>
  </si>
  <si>
    <t>016-2021</t>
  </si>
  <si>
    <t>SILVANA VANESSA YOSHIKO DOKU AHUMADA</t>
  </si>
  <si>
    <t>Dotar instituciones que atiendan personas con discapacidad visual con libros y textos en braille y material en relieve y macrotipo</t>
  </si>
  <si>
    <t>Administrativo</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</si>
  <si>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</si>
  <si>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Darío Montañez</t>
  </si>
  <si>
    <t>secretariageneral@inci.gov.co</t>
  </si>
  <si>
    <t xml:space="preserve">Paula Castaño </t>
  </si>
  <si>
    <t>28/06/2021</t>
  </si>
  <si>
    <t>057-2021</t>
  </si>
  <si>
    <t>SERVICIOS POSTALES NACIONALES S.A. – 4-72_x000D_</t>
  </si>
  <si>
    <t xml:space="preserve">Disponer de material, productos y ayudas para la adquisición por parte de las  personas con discapacidad visual </t>
  </si>
  <si>
    <t xml:space="preserve">Unidades Productivas
</t>
  </si>
  <si>
    <t>42211700;
42211702;
44101800;
44101802;
44101803</t>
  </si>
  <si>
    <t xml:space="preserve">Adquisición de productos y materiales especializados para personas con discapacidad visual con el propósito de abastecer la  Tienda INCI </t>
  </si>
  <si>
    <t>Menor Cuantía</t>
  </si>
  <si>
    <t>SUMINISTRO</t>
  </si>
  <si>
    <t>Laura Caballero</t>
  </si>
  <si>
    <t xml:space="preserve">Transcribir e imprimir libros, textos y material para las personas con discapacidad visual </t>
  </si>
  <si>
    <t>Contratación de prestación de servicios de apoyo a la gestión para el área de acabados en la imprenta Nacional para Ciegos 1</t>
  </si>
  <si>
    <t>345 días</t>
  </si>
  <si>
    <t>Ana Patricia Hormaza</t>
  </si>
  <si>
    <t>004-2021</t>
  </si>
  <si>
    <t>MORANTES GARCIA MYRIAN HORTENCIA</t>
  </si>
  <si>
    <t>Contratación de prestación de servicios de apoyo a la gestión para el área de acabados en la imprenta Nacional para Ciegos 2</t>
  </si>
  <si>
    <t>005-2021</t>
  </si>
  <si>
    <t>CASTRO RODRIGUEZ MARIA AURORA</t>
  </si>
  <si>
    <t xml:space="preserve">Contratación de prestación de servicios de apoyo a la gestión para el manejo de máquinas de impresión en braille, corte y grabado láser de la imprenta Nacional para Ciegos </t>
  </si>
  <si>
    <t>020-2021</t>
  </si>
  <si>
    <t>MENDOZA DURAN IVAN FELIPE</t>
  </si>
  <si>
    <t>82111604;
81141701</t>
  </si>
  <si>
    <t xml:space="preserve">Contratación de prestación de servicios profesionales para realizar diagramación, transcripción y diseño de productos en la imprenta nacional para ciegos </t>
  </si>
  <si>
    <t>006-2021</t>
  </si>
  <si>
    <t>BALLEN SANCHEZ EDGAR MAURICIO</t>
  </si>
  <si>
    <t>82111604;
82141502</t>
  </si>
  <si>
    <t xml:space="preserve">Contratación de prestación de servicios de apoyo a la gestión  para realizar diagramación, transcripción, diseño de productos y manejo de máquinasde impresión braille UV LED, impresión braille y digital en la imprenta nacional para ciegos </t>
  </si>
  <si>
    <t>021-2021</t>
  </si>
  <si>
    <t xml:space="preserve">Contratación de prestación de servicios profesionales en actividades  administrativas, mercadeo y producción en la imprenta nacional para ciegos </t>
  </si>
  <si>
    <t>003-2021</t>
  </si>
  <si>
    <t>ESPITIA POVEDA JULY CATHERINE
HERRERA TORRES DANIEL</t>
  </si>
  <si>
    <t xml:space="preserve">Contratación de servicios  de apoyo a la gestion (6 personas) para la imprenta Nacional para Ciegos (elecciones Juventud) </t>
  </si>
  <si>
    <t>44122117;
44103103</t>
  </si>
  <si>
    <t>Adquisición de insumos para la producción en la imprenta nacional para ciegos (anillos, toner, pegantes,  acirilicos, cintas…)</t>
  </si>
  <si>
    <t>Mínima Cuantía</t>
  </si>
  <si>
    <t>73152101;
73152102;
73152103;
81101707</t>
  </si>
  <si>
    <t xml:space="preserve">Contratación de mantenimiento de las impresoras digitales Ricoh de la imprenta Nacional para Ciegos </t>
  </si>
  <si>
    <t>73152101;
73152102;
73152103; 
81101707</t>
  </si>
  <si>
    <t xml:space="preserve">Contratación de mantenimiento preventivo y correctivo de las Máquinas Offset de la Imprenta Nacional para Ciegos </t>
  </si>
  <si>
    <t xml:space="preserve">Contratación de mantenimiento de la máquina PED de la imprenta Nacional para Ciegos </t>
  </si>
  <si>
    <t xml:space="preserve">Contratación de mantenimiento de las maquinas Index de la imprenta Nacional para Ciegos </t>
  </si>
  <si>
    <t>23153412;
45101705;
45101704</t>
  </si>
  <si>
    <t>Adquisición de guillotinas y perfiladora de láminas de zinc y acrílicos</t>
  </si>
  <si>
    <t>EQUIPOS</t>
  </si>
  <si>
    <t>43212107;
60121301</t>
  </si>
  <si>
    <t>Adquisición de plotter de corte para autoadhesivos</t>
  </si>
  <si>
    <t>C-2203-0700-5-0-2203016-02</t>
  </si>
  <si>
    <t>MC-03</t>
  </si>
  <si>
    <t>Desarrollar ejercicios de investigación para mejorar las condiciones de inclusión de las personas con discapacidad visual</t>
  </si>
  <si>
    <t>80111621</t>
  </si>
  <si>
    <t>Contrato interadministrativo</t>
  </si>
  <si>
    <t>Miryam Herrera</t>
  </si>
  <si>
    <t>Gestionar documentos de propuestas normativas para hacer efectivos los derechos de las personas con discapacidad visual</t>
  </si>
  <si>
    <t>Contrato de prestación de servicios profesionales para la gestión de propuestas normativas en beneficio de las personas con discapacidad visual</t>
  </si>
  <si>
    <t>041-2021</t>
  </si>
  <si>
    <t>ROSAS DIAZ CAROLINA</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</si>
  <si>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</si>
  <si>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</si>
  <si>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046-2021</t>
  </si>
  <si>
    <t>VILLABONA RAMIREZ HERMANN LEONARDO</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</si>
  <si>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</si>
  <si>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017-2021</t>
  </si>
  <si>
    <t>VILLAMIZAR NELSON JULIAN</t>
  </si>
  <si>
    <t>CONVENIO</t>
  </si>
  <si>
    <t>C-2299-0700-3-0-2299052-02</t>
  </si>
  <si>
    <t>PROYECTO FORTALECIMIENTO DE PROCESOS Y RECURSOS DEL INCI PARA CONTRIBUIR CON EL MEJORAMIENTO DE SERVICIOS A LAS PERSONAS CON DISCAPACIDAD VISUAL</t>
  </si>
  <si>
    <t>FP-02</t>
  </si>
  <si>
    <t>Implementar los instrumentos archivísticos en la entidad</t>
  </si>
  <si>
    <t>Gestión Documental</t>
  </si>
  <si>
    <t xml:space="preserve">Prestar sus servicios como tecnólogo en gestión documental, apoyando la ejecución de las diferentes actividades administrativas y técnicas que le atañen al proceso de gestión documental del Instituto Nacional para Ciegos – INCI </t>
  </si>
  <si>
    <t xml:space="preserve">CONTRATO PRESTACIÓN DE SERVICIOS </t>
  </si>
  <si>
    <t>Luz Hedy Ortiz</t>
  </si>
  <si>
    <t>034-2021</t>
  </si>
  <si>
    <t>FANNY EDITH QUIROGA ORTIZ</t>
  </si>
  <si>
    <t>Contrato para la adquisición de mobiliario para garantizar la conservación del patrimonio documental del archivo del INCI</t>
  </si>
  <si>
    <t>MATERIALES</t>
  </si>
  <si>
    <t>Actualizar y ejecutar el programa de gestión documental</t>
  </si>
  <si>
    <t>Prestar servicios de apoyo a la gestión documental, para el cumplimiento de las metas y compromisos establecidos en los Planes y Programas del Proceso de Gestión Documental del Instituto Nacional para Ciegos – INCI.</t>
  </si>
  <si>
    <t>033-2021</t>
  </si>
  <si>
    <t>IVAN FELIPE PARADA RUIZ</t>
  </si>
  <si>
    <t>C-2299-0700-3-0-2299058-02</t>
  </si>
  <si>
    <t>FP-03</t>
  </si>
  <si>
    <t>Ejecutar el Programa de Bienestar para contribuir al mejoramiento de la Calidad de Vida de los servidores de la entidad</t>
  </si>
  <si>
    <t>Gestión Humana</t>
  </si>
  <si>
    <t>Contratar servicio de salud ocupacional y laboral</t>
  </si>
  <si>
    <t>Andrea Cuadros</t>
  </si>
  <si>
    <t>Fortalecer las capacidades, conocimientos y habilidades de los servidores en el puesto de trabajo, a través de la implementación del Plan Institucional de Capacitación</t>
  </si>
  <si>
    <t>86101705;
86101810</t>
  </si>
  <si>
    <t>Contrato de prestación de servicios para fortalecer las capacidades, conocimientos y habilidades de los servidores públicos</t>
  </si>
  <si>
    <t>C-2299-0700-3-0-2299060-02</t>
  </si>
  <si>
    <t>FP-04</t>
  </si>
  <si>
    <t>Implementar el Sistema de Gestión y Seguridad en el Trabajo</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</si>
  <si>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</si>
  <si>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009-2021</t>
  </si>
  <si>
    <t>MARIA JOSE MARQUEZ GONZALEZ</t>
  </si>
  <si>
    <t>Implementar  el Modelo Integrado de Planeación y Gestión en el INCI</t>
  </si>
  <si>
    <t>Contratación de prestación  de servicios profesionales para la actualización del Manual de Funciones</t>
  </si>
  <si>
    <t>Direccionamiento Estratégico</t>
  </si>
  <si>
    <t>Contratatación de Consultoría para el fortalecimiento de las políticas del Modelo Integrado de Planeción y Gestión (estadística y normativa)</t>
  </si>
  <si>
    <t>Ricardo Hernández</t>
  </si>
  <si>
    <t>planeacion@inci.gov.co</t>
  </si>
  <si>
    <t xml:space="preserve">Evaluación y Mejoramiento </t>
  </si>
  <si>
    <t>Contratación de prestación de servicios como apoyo a la Oficina de control interno</t>
  </si>
  <si>
    <t>controlinterno@inci.gov.co</t>
  </si>
  <si>
    <t>Gestión Jurídica</t>
  </si>
  <si>
    <t>Contrato de prestación de servicios profesionales para la defensa jurídica que adelanta la Oficina Asesora Jurídica del Instituto Nacional para Ciegos, INCI.</t>
  </si>
  <si>
    <t>Diego Sánchez</t>
  </si>
  <si>
    <t>juridica@inci.gov.co</t>
  </si>
  <si>
    <t>002-2021</t>
  </si>
  <si>
    <t>CASTELLANOS BOHORQUEZ MAYRA ALEJANDRA</t>
  </si>
  <si>
    <t>C-2299-0700-3-0-2299062-02</t>
  </si>
  <si>
    <t>FP-05</t>
  </si>
  <si>
    <t>Actualizar la plataforma tecnológica de la entidad</t>
  </si>
  <si>
    <t>Informática y Tecnología</t>
  </si>
  <si>
    <t>Contratación de prestación de servicio para soporte y actualización de licencia IOS aplicaciones del INCI y plataforma de learning</t>
  </si>
  <si>
    <t>Carlos Supanteve</t>
  </si>
  <si>
    <t>036-2021</t>
  </si>
  <si>
    <t>DAVID HERNANDO BELLO LADINO</t>
  </si>
  <si>
    <t xml:space="preserve">Contratación de prestación de servicio para soporte y mantenimiento de la página web, el aplicativo de asistencia técnica </t>
  </si>
  <si>
    <t>038-2021</t>
  </si>
  <si>
    <t>PABLO ERNESTO VILLATE LEON</t>
  </si>
  <si>
    <t>Servicio de Streaming para la Emisora Virtual INCI Radio, del Instituto Nacional para Ciegos</t>
  </si>
  <si>
    <t>Lady Hoyos</t>
  </si>
  <si>
    <t>044-2021</t>
  </si>
  <si>
    <t>COLOMBIAWEBS GROUP SAS</t>
  </si>
  <si>
    <t>Adquisición de licenciamiento microsoft office 365 para los equipos de cómputo del INCI</t>
  </si>
  <si>
    <t>Selección abreviada- Acuedo Marco</t>
  </si>
  <si>
    <t>LICENCIA</t>
  </si>
  <si>
    <t>Adquisición Licenciamiento Suite Adobe</t>
  </si>
  <si>
    <t>Antonio Betancur</t>
  </si>
  <si>
    <t>Contratar el servicio de hosting para el alojamiento de la página web y aplicaciones del Instituto Nacional Para Ciegos - INCI, acorde con el anexo técnico, los estudios previos y el pliego de condiciones.</t>
  </si>
  <si>
    <t>035-2021//63988</t>
  </si>
  <si>
    <t>IFX NETWORKS COLOMBIA S A S</t>
  </si>
  <si>
    <t>Prestar sus servicios como ingeniero de sistemas para soporte, desarrollo y mejoramiento en el SGD ORFEO del Instituto Nacional para Ciegos</t>
  </si>
  <si>
    <t>037-2021</t>
  </si>
  <si>
    <t>CAMILO ANDRES PINTOR GUTIERREZ</t>
  </si>
  <si>
    <t>Mejorar la seguridad de la información</t>
  </si>
  <si>
    <t xml:space="preserve">Mantenimiento servidor y actualización sistema telefónico IP - Elastix </t>
  </si>
  <si>
    <t>Helbert Castillo</t>
  </si>
  <si>
    <t>72103302;
81111803;
81111804</t>
  </si>
  <si>
    <t>Mantenimiento preventivo y correctivo por horas,  de equipos de redes WI-FI AP, Switch Core y Borde, controladoras  relacionadas, actualización, implementaciones, configuraciones de propiedad del INCI</t>
  </si>
  <si>
    <t>Adquisición de Antivirus</t>
  </si>
  <si>
    <t>Adquisición de Licencias Firewall</t>
  </si>
  <si>
    <t>10 días</t>
  </si>
  <si>
    <t>23/06/2021</t>
  </si>
  <si>
    <t>PROPIOS 21</t>
  </si>
  <si>
    <t>Contrato de prestación de servicios para el soporte, mantenimiento y actualizaciones del aplicativo WEBSAFI</t>
  </si>
  <si>
    <t>031-2021</t>
  </si>
  <si>
    <t>SOFTWARE HOUSE LTDA</t>
  </si>
  <si>
    <t>Servicio de mantenimiento MV y actualización SERVERCENTER</t>
  </si>
  <si>
    <t>Servicio de mantenimiento y ajustes a IPv6 - Incluye permanencia en "LACNIC"</t>
  </si>
  <si>
    <t>Soporte de Directorio activo</t>
  </si>
  <si>
    <t>Soporte de Firewall</t>
  </si>
  <si>
    <t>24-06-2021</t>
  </si>
  <si>
    <t xml:space="preserve">Prestación de servicios profesionales como Community Manager para la actualización y desarrollo de las redes sociales del Instituto Nacional para Ciegos INCI </t>
  </si>
  <si>
    <t>026-2021</t>
  </si>
  <si>
    <t>CASTAÑEDA VARGAS LUIS ALEJANDRO</t>
  </si>
  <si>
    <t>Contratación de servicios profesionales para el desarrollo y administración de los canales digitales de comunicación del INCI
No se ajustó el valor en SECOP y realmente costó: $22.570.000</t>
  </si>
  <si>
    <t>11
Real: 188 días</t>
  </si>
  <si>
    <t>047-2021</t>
  </si>
  <si>
    <t>TATIANA CAROLINA MOLINA VARGAS</t>
  </si>
  <si>
    <t>A-02-01-01-003-008</t>
  </si>
  <si>
    <t>GG-01</t>
  </si>
  <si>
    <t>56112204; 
56112206; 
56112103; 
56112104; 
56101518</t>
  </si>
  <si>
    <t>Muebles Institucionales</t>
  </si>
  <si>
    <t>FUNCIONAMIENTO</t>
  </si>
  <si>
    <t>A-02-02-01-000-001</t>
  </si>
  <si>
    <t>GG-02</t>
  </si>
  <si>
    <t>Plantas aromáticas, bebestibles y especias</t>
  </si>
  <si>
    <t>66222//048-2021</t>
  </si>
  <si>
    <t>MUNDOLIMPIEZA LTDA</t>
  </si>
  <si>
    <t>A-02-02-01-002-003</t>
  </si>
  <si>
    <t>GG-03</t>
  </si>
  <si>
    <t xml:space="preserve">Caja menor productos cafetería y restaurante </t>
  </si>
  <si>
    <t>CAJA MENOR</t>
  </si>
  <si>
    <t>RESOLUCION
20211120000253</t>
  </si>
  <si>
    <t>Azúcar</t>
  </si>
  <si>
    <t>Café</t>
  </si>
  <si>
    <t>A-02-02-01-002-008</t>
  </si>
  <si>
    <t xml:space="preserve">Dotación </t>
  </si>
  <si>
    <t>A-02-02-01-003-002</t>
  </si>
  <si>
    <t>GG-04</t>
  </si>
  <si>
    <t>Caja Menor  Papeleria, utiles escritorio y oficina</t>
  </si>
  <si>
    <t>14101501;
60121124;
14111507;
44122003;
44111515</t>
  </si>
  <si>
    <t xml:space="preserve">Adquisición de Papel bond oficina, cajas, carpetas </t>
  </si>
  <si>
    <t>MATERIALES Y SUMINISTROS</t>
  </si>
  <si>
    <t>14111704;
14111705</t>
  </si>
  <si>
    <t>Papel higiénico, servilletas, toallas papel, vasos de cartón</t>
  </si>
  <si>
    <t>A-02-02-01-003-003</t>
  </si>
  <si>
    <t>Diesel combustible vehiculo</t>
  </si>
  <si>
    <t>63730-30-2021</t>
  </si>
  <si>
    <t>GRUPO EDS AUTOGAS S.A.S.</t>
  </si>
  <si>
    <t>A-02-02-01-003-005</t>
  </si>
  <si>
    <t>Toner impresoras</t>
  </si>
  <si>
    <t>Creolina, alcohol y limpiavidrios</t>
  </si>
  <si>
    <t xml:space="preserve">Limpiones, toallas, traperos (aseo) </t>
  </si>
  <si>
    <t xml:space="preserve">Jabón, liquidos para aseo </t>
  </si>
  <si>
    <t xml:space="preserve">A-02-02-01-003-006  </t>
  </si>
  <si>
    <t>52151501;
52151502;
52151503;
52151504</t>
  </si>
  <si>
    <t>Otros productos plasticos (desechables, escobas,otros aseo)</t>
  </si>
  <si>
    <t xml:space="preserve">A-02-02-01-003-006 </t>
  </si>
  <si>
    <t>44121702;
27112309;
42312009</t>
  </si>
  <si>
    <t xml:space="preserve">Suministros de escritorio ( ganchos, esferos, lapices, cosedoras etc) </t>
  </si>
  <si>
    <t>A-02-02-01-004-007</t>
  </si>
  <si>
    <t>GG-05</t>
  </si>
  <si>
    <t>Adquisición de Token para trámites con el Ministerio de Hacienda</t>
  </si>
  <si>
    <t>A-02-02-02-005-004</t>
  </si>
  <si>
    <t>GG-06</t>
  </si>
  <si>
    <t>Mantenimiento infraestructura segundo piso</t>
  </si>
  <si>
    <t>OBRA</t>
  </si>
  <si>
    <t>A-02-02-02-006-004</t>
  </si>
  <si>
    <t>GG-07</t>
  </si>
  <si>
    <t>Caja Menor - Transporte</t>
  </si>
  <si>
    <t>A-02-02-02-006-009</t>
  </si>
  <si>
    <t>Servicio Público Energia</t>
  </si>
  <si>
    <t>N/A</t>
  </si>
  <si>
    <t>CODENSA S.A ESP</t>
  </si>
  <si>
    <t xml:space="preserve">Servicio Público Agua </t>
  </si>
  <si>
    <t>EMPRESA DE ACUEDUCTO Y ALCANTARILLADO DE BOGOTA - ESP</t>
  </si>
  <si>
    <t xml:space="preserve">
A-02-02-02-007-001</t>
  </si>
  <si>
    <t>GG-08</t>
  </si>
  <si>
    <t xml:space="preserve">SEGUROS </t>
  </si>
  <si>
    <t xml:space="preserve">SEGUROS VIGENCIA FUTURA </t>
  </si>
  <si>
    <t>121-9521</t>
  </si>
  <si>
    <t>121
11321</t>
  </si>
  <si>
    <t>15/01/2021
27/05/2021</t>
  </si>
  <si>
    <t>105-2020</t>
  </si>
  <si>
    <t>ASEGURADORA SOLIDARIA DE COLOMBIA ENTIDAD COOPERATIVA</t>
  </si>
  <si>
    <t>A-02-02-02-008-002</t>
  </si>
  <si>
    <t>GG-09</t>
  </si>
  <si>
    <t>Caja menor, gastos judiciales</t>
  </si>
  <si>
    <t>A-02-02-02-008-003</t>
  </si>
  <si>
    <t>Contrato de prestación de servicios como apoyo Administrativo</t>
  </si>
  <si>
    <t>008-2021</t>
  </si>
  <si>
    <t>QUINTANA GRANADA JEISSON ANDRES</t>
  </si>
  <si>
    <t>Financiero</t>
  </si>
  <si>
    <t>Contrato de prestación de servicios como apoyo financiero</t>
  </si>
  <si>
    <t>045-2021</t>
  </si>
  <si>
    <t>MATALLANA VARGAS YEIMI ANDREA</t>
  </si>
  <si>
    <t xml:space="preserve">Contrato de prestación de servicios profesionales como apoyo al procedimiento de tesorería </t>
  </si>
  <si>
    <t>007-2021</t>
  </si>
  <si>
    <t>GALINDO YINNA
DIANA SALAS</t>
  </si>
  <si>
    <t xml:space="preserve">Honorarios Consejo Directivo </t>
  </si>
  <si>
    <t>MUÑOZ LOPEZ GUSTAVO ADOLFO</t>
  </si>
  <si>
    <t xml:space="preserve">Contrato de prestación de servicios profesionales  como apoyo en temas administrativos e implementacion y ejecuciòn del plan institucional de gestion ambiental de la entidad  </t>
  </si>
  <si>
    <t>032-2021</t>
  </si>
  <si>
    <t>MARYI LORENA NIÑO MOSQUERA</t>
  </si>
  <si>
    <t>Contrato de prestación de servicios Profesionales de apoyo a la elaboración de estudios previos y  supervisión Tecnica de la obra</t>
  </si>
  <si>
    <t>043-2021</t>
  </si>
  <si>
    <t>CHACON CHACON FREDDY</t>
  </si>
  <si>
    <t xml:space="preserve">Contrato de prestación de servicios para apoyo administrativo del proceso Gestión Humana </t>
  </si>
  <si>
    <t>010-2021</t>
  </si>
  <si>
    <t>FERNEY  GAVIRIA ARGOTE</t>
  </si>
  <si>
    <t>A-02-02-02-008-003-09</t>
  </si>
  <si>
    <t>Prestar servicios profesionales de índole jurídico para el acompañamiento en las diferentes etapas del proceso contractual en todas las áreas del Instituto Nacional para Ciegos.</t>
  </si>
  <si>
    <t>001-2021</t>
  </si>
  <si>
    <t>CEPEDA DE LA ESPRIELLA RAQUEL LUCIA</t>
  </si>
  <si>
    <t>Contrato de prestación de servicios como apoyo a la oficina de control interno</t>
  </si>
  <si>
    <t>Magdalena Pedraza</t>
  </si>
  <si>
    <t>022-2021</t>
  </si>
  <si>
    <t>CORTES ALDANA ANGELA PATRICIA</t>
  </si>
  <si>
    <t>A-02-02-02-008-004</t>
  </si>
  <si>
    <t xml:space="preserve">Servicio teléfono y celular </t>
  </si>
  <si>
    <t>Servicio de Internet Canal Principal</t>
  </si>
  <si>
    <t>052-2021 68719</t>
  </si>
  <si>
    <t>Servicio de Internet Canal Principal 
Vigencia Futura</t>
  </si>
  <si>
    <t>165 días</t>
  </si>
  <si>
    <t>049-2020 - 46740</t>
  </si>
  <si>
    <t>A-02-02-02-008-005</t>
  </si>
  <si>
    <t xml:space="preserve">Servicio vigilancia </t>
  </si>
  <si>
    <t>Menor cuantía</t>
  </si>
  <si>
    <t>050-2021</t>
  </si>
  <si>
    <t>SEGURIDAD THOR LTDA</t>
  </si>
  <si>
    <t xml:space="preserve">Servicio vigilancia VIGENCIA FUTURA </t>
  </si>
  <si>
    <t>048-2020</t>
  </si>
  <si>
    <t>PROTEVIS LIMITADA PROTECCION VIGILANCIA SEGURIDAD EN REORGANIZACION</t>
  </si>
  <si>
    <t>Servicios de aseo</t>
  </si>
  <si>
    <t xml:space="preserve">Servicios de aseo VIGENCIA FUTURA </t>
  </si>
  <si>
    <t>1121-7621</t>
  </si>
  <si>
    <t>521-8321</t>
  </si>
  <si>
    <t>18/01/2021
26/03/2021</t>
  </si>
  <si>
    <t>47238//053-2020
66222//048-2021</t>
  </si>
  <si>
    <t>CASALIMPIA S.A.
MUNDOLIMPIEZA LTDA</t>
  </si>
  <si>
    <t>Servicios complementarios de aseo (Aspiradora, greca, estufa)</t>
  </si>
  <si>
    <t>Servicios complementarios de aseo (Aspiradora, greca, estufa) VIGENCIA FUTURA</t>
  </si>
  <si>
    <t>47238//053-2020</t>
  </si>
  <si>
    <t>CASALIMPIA S.A.</t>
  </si>
  <si>
    <t>A-02-02-02-008-007</t>
  </si>
  <si>
    <t>Mantenimiento Vehículo</t>
  </si>
  <si>
    <t xml:space="preserve">72101506
</t>
  </si>
  <si>
    <t>Contratación de prestación de servicios para el mantenimiento del ascensor del INCI</t>
  </si>
  <si>
    <t>049-2021</t>
  </si>
  <si>
    <t>1A SOLUCIONES GS SAS</t>
  </si>
  <si>
    <t xml:space="preserve">
81141804</t>
  </si>
  <si>
    <t>Certificación ascensor</t>
  </si>
  <si>
    <t xml:space="preserve">Contratación de prestación de servicios para el mantenimiento de los aires acondicionados </t>
  </si>
  <si>
    <t>Contratación servicio de mantenimiento recarga de extintores y de hidratante de red  contra incendios</t>
  </si>
  <si>
    <t>Caja Menor Mantenimiento de bienes muebles, inmuebles, equipos y enseres</t>
  </si>
  <si>
    <t>72102900</t>
  </si>
  <si>
    <t>Mantenimiento de puerta vehicular y torniquete de ingreso</t>
  </si>
  <si>
    <t>81112200;
81112300</t>
  </si>
  <si>
    <t>Contratación de prestación de servicios para el mantenimiento de los equipos cómputo</t>
  </si>
  <si>
    <t>Antonio Betancourt</t>
  </si>
  <si>
    <t>051-2021</t>
  </si>
  <si>
    <t>ALL TECHNOLOGICAL SERVICES ATS S.A.S.</t>
  </si>
  <si>
    <t xml:space="preserve">Contratación mantenimiento correctivo y preventivo de Impresoras, scanner y otros dispositivos de informática  </t>
  </si>
  <si>
    <t>056-2021</t>
  </si>
  <si>
    <t>WBEIMAR LEONARDO MIRANDA LOPEZ</t>
  </si>
  <si>
    <t>Contrato bolsa de repuestos para impresoras, scanner y otros dispositivos de informática</t>
  </si>
  <si>
    <t>A-02-02-02-009-004</t>
  </si>
  <si>
    <t>GG-10</t>
  </si>
  <si>
    <t xml:space="preserve">Servicio Publico Aseo </t>
  </si>
  <si>
    <t xml:space="preserve">Contratación servicio de Fumigacion </t>
  </si>
  <si>
    <t>Contratación servicio de Fumigacion 
VIGENCIA FUTURA</t>
  </si>
  <si>
    <t>Gestión humana</t>
  </si>
  <si>
    <t>Servicios de Bienestar</t>
  </si>
  <si>
    <t>A-02-02-02-009-007</t>
  </si>
  <si>
    <t>Servicio para la Limpieza de la  fachada, persianas, vidrios y tanques de la entidad</t>
  </si>
  <si>
    <t>73111604
76122306
72122307
72122308
76122309
76122310
76122311
76122312
76121500</t>
  </si>
  <si>
    <t>Celebrar Acuerdo de Corresponsabilidad para realizar la gestión integral de los residuos sólidos aprovechables y reciclables de carácter no peligroso, generados en las instalaciones del Instituto Nacional para Ciegos -INCI, incluyendo su recolección, transporte, almacenamiento, aprovechamiento y disposición final.</t>
  </si>
  <si>
    <t>A-02-02-01-002-007</t>
  </si>
  <si>
    <t xml:space="preserve">GG-11 </t>
  </si>
  <si>
    <t xml:space="preserve">Elementos de protección personal </t>
  </si>
  <si>
    <t>A-03-03-01-999</t>
  </si>
  <si>
    <t>TR-01</t>
  </si>
  <si>
    <t>OTRAS TRANSFERENCIAS - DISTRIBUCIÓN PREVIO CONCEPTO DGPPN</t>
  </si>
  <si>
    <t>A-03-10-01-001</t>
  </si>
  <si>
    <t>TR-02</t>
  </si>
  <si>
    <t>SENTENCIAS</t>
  </si>
  <si>
    <t xml:space="preserve">TUTELA NÚMERO: REF.: EXP. T-11001-31-03-047-2021-00031-01 </t>
  </si>
  <si>
    <t>TATIANA CAROLINA MOLINA</t>
  </si>
  <si>
    <t>A-08-01-02-006</t>
  </si>
  <si>
    <t>TR-03</t>
  </si>
  <si>
    <t>IMPUESTO SOBRE VEHICULOS AUTOMOTORES</t>
  </si>
  <si>
    <t>IMPUESTO VEHÍCULOS</t>
  </si>
  <si>
    <t>BOGOTA DISTRITO CAPITAL
MUNICIPIO DE SANTANDER DE QUILICHAO</t>
  </si>
  <si>
    <t>A-08-04-01</t>
  </si>
  <si>
    <t>TR-04</t>
  </si>
  <si>
    <t>CUOTA DE FISCALIZACIÓN Y AUDITAJE</t>
  </si>
  <si>
    <t>A-08-01-02-001</t>
  </si>
  <si>
    <t>TR-05</t>
  </si>
  <si>
    <t xml:space="preserve">IMPUESTO PREDIAL </t>
  </si>
  <si>
    <t>IMPUESTO PREDIAL</t>
  </si>
  <si>
    <t>BOGOTA DISTRITO CAPITA</t>
  </si>
  <si>
    <t>8221-8321-9421</t>
  </si>
  <si>
    <t>9521-9621
10921</t>
  </si>
  <si>
    <t>8/04/2021
2021-05-13</t>
  </si>
  <si>
    <t>TIPO</t>
  </si>
  <si>
    <t>Valor Trasladado en Reserva Presupuestal</t>
  </si>
  <si>
    <t xml:space="preserve">VALOR OBLIGADO
</t>
  </si>
  <si>
    <t xml:space="preserve">SALDO PENDIENTE POR OBLIGAR </t>
  </si>
  <si>
    <t xml:space="preserve">CUENTA POR PAGAR </t>
  </si>
  <si>
    <t>Unidades Productivas</t>
  </si>
  <si>
    <t>44102805
45101508
45101803
45101901</t>
  </si>
  <si>
    <t>Adquisición de dos máquinas industriales (Perforadora y cerradora) para el proceso de acabados de los productos que se elaboran en la Imprenta Nacional para Ciegos.</t>
  </si>
  <si>
    <t>Nación</t>
  </si>
  <si>
    <t xml:space="preserve">Gustavo Pulido Casas </t>
  </si>
  <si>
    <t>084-2020</t>
  </si>
  <si>
    <t>ANILLO DOBLE O SAS</t>
  </si>
  <si>
    <t xml:space="preserve">73152101
73152102
73152103 
81101707
</t>
  </si>
  <si>
    <t>095-2020</t>
  </si>
  <si>
    <t>COMERANDINA INDUSTRIAL S.A.S.</t>
  </si>
  <si>
    <t>56111902,
56111903,
56111906,
56111907,
56101535,
56101520,</t>
  </si>
  <si>
    <t>Adquisición de mobiliario y estanterias para el área de acabados e impresión braille en la imprenta</t>
  </si>
  <si>
    <t>100-2020</t>
  </si>
  <si>
    <t>JOHN ALEJANDRO FRANCO OTERO</t>
  </si>
  <si>
    <t>CUENTA POR PAGAR Y RESERVA</t>
  </si>
  <si>
    <t>76121501
76121902
76122203
76122301
76122302
76122303
76122304</t>
  </si>
  <si>
    <t>Contrato prestación de servicios asesoria y recolección para la disposición final desechos peligrosos de la Imprenta Nacional para Ciegos</t>
  </si>
  <si>
    <t>088-2020</t>
  </si>
  <si>
    <t>GESTION AMBIENTAL DE COLOMBIA SAS ESP</t>
  </si>
  <si>
    <t xml:space="preserve">SE CONSTITUYE CUENTA POR PAGAR MANUAL CON LA FACTURA FACT GEAC60 POR VALOR DE $3.507.345 POR NO CONTAR CON PAC  </t>
  </si>
  <si>
    <t>CUENTA POR PAGAR</t>
  </si>
  <si>
    <t>Asistencia Técnica</t>
  </si>
  <si>
    <t>81111502</t>
  </si>
  <si>
    <t>Diseño y desarrollo del software "Palabras y Cuentas" para apoyar los prcocesos de aprendizaje de braille y ábaco para las personas con discapacidad visual</t>
  </si>
  <si>
    <t>074-2020</t>
  </si>
  <si>
    <t>INMOTICA LTDA</t>
  </si>
  <si>
    <t>Adquisición de insumos para el proceso productivo en la imprenta nacional para ciegos</t>
  </si>
  <si>
    <t>091-2020</t>
  </si>
  <si>
    <t>LA CASA DE SUMINISTROS Y SERVICIOS S.A.S</t>
  </si>
  <si>
    <t>RESERVA</t>
  </si>
  <si>
    <t>Contratación de mantenimiento de  máquina de señalización (impresora cama plana UV LED) ubicada en la Imprenta Nacional para Ciegos</t>
  </si>
  <si>
    <t>Propios 21</t>
  </si>
  <si>
    <t>051-2020</t>
  </si>
  <si>
    <t>LASER DEPOT SAS</t>
  </si>
  <si>
    <t xml:space="preserve">Contratar el suministro de refrigerios para las personas con discapacidad visual y demás asistentes a los eventos organizados por el INCI con el fin de promover los derechos de las personas con discapacidad visual </t>
  </si>
  <si>
    <t>Gustavo Pulido</t>
  </si>
  <si>
    <t>Enrique King</t>
  </si>
  <si>
    <t>047-2020</t>
  </si>
  <si>
    <t>LOGISTICS &amp; SERVICES SAS</t>
  </si>
  <si>
    <t>Centro Cultural</t>
  </si>
  <si>
    <t>047-20202</t>
  </si>
  <si>
    <t>80141607</t>
  </si>
  <si>
    <t>Producir y publicar en formatos accesibles documentos digitales para personas con discapacidad visual</t>
  </si>
  <si>
    <t xml:space="preserve">Contrato de prestación de servicios para la implemetación del Sistema de Bibliotecas y Repositorios Digitales DSPACE en la biblioteca virtual del INCI </t>
  </si>
  <si>
    <t>096-2020</t>
  </si>
  <si>
    <t>METABIBLIOTECA S A S</t>
  </si>
  <si>
    <t xml:space="preserve">42211700
42211702
44101800
44101802
44101803
</t>
  </si>
  <si>
    <t xml:space="preserve">
28820</t>
  </si>
  <si>
    <t xml:space="preserve">
2020-12-16</t>
  </si>
  <si>
    <t>080-2020</t>
  </si>
  <si>
    <t>MULTISUMINISTROS E U</t>
  </si>
  <si>
    <t xml:space="preserve">Adquisición de materiales para la elaboración de señalización en la imprenta nacional para Ciegos </t>
  </si>
  <si>
    <t>112-2020</t>
  </si>
  <si>
    <t>Adquisición de papel para la producción de la imprenta nacional para Ciegos</t>
  </si>
  <si>
    <t>101-2020</t>
  </si>
  <si>
    <t>PAPELES RR S A S</t>
  </si>
  <si>
    <t>061-2020</t>
  </si>
  <si>
    <t>RICOH COLOMBIA S.A</t>
  </si>
  <si>
    <t>092-2020</t>
  </si>
  <si>
    <t>RODRIGUEZ HUERTAS JAIME ENRIQUE</t>
  </si>
  <si>
    <t>Contratar el suministro de tiquetes aéreos en rutas nacionales e internacionales disponibles por SATENA y otros operadores para los servidores públicos del Instituto Nacional para Ciegos – INCI, para el cumplimiento de sus funciones</t>
  </si>
  <si>
    <t>Dario Montañez</t>
  </si>
  <si>
    <t>TIQUETE AÉREO</t>
  </si>
  <si>
    <t>038-2020</t>
  </si>
  <si>
    <t>SERVICIO AEREO A TERRITORIOS NACIONALES S.A.</t>
  </si>
  <si>
    <t>052-2020</t>
  </si>
  <si>
    <t>SERVICIOS POSTALES NACIONALES S.A</t>
  </si>
  <si>
    <t>087-2020</t>
  </si>
  <si>
    <t>SOLUCIONES INTEGRALES VER SAS EP</t>
  </si>
  <si>
    <t>Producir y adaptar material audiovisual para promover la inclusión de las personas con discapacidad visual</t>
  </si>
  <si>
    <t>Producción Radial y Audiovisual</t>
  </si>
  <si>
    <t>45121516
45111815
45121610
45121602</t>
  </si>
  <si>
    <t xml:space="preserve">Adquisición de equipos para transmisión en vivo del centro audiovisual </t>
  </si>
  <si>
    <t>106-2020</t>
  </si>
  <si>
    <t>SUMINISTROS Y ASESORIAS S&amp;R SAS</t>
  </si>
  <si>
    <t>Adquisición de un escáner de libros para la biblioteca virtual</t>
  </si>
  <si>
    <t>102-2020</t>
  </si>
  <si>
    <t>TECHNO MART SAS</t>
  </si>
  <si>
    <t>80111621;93131703</t>
  </si>
  <si>
    <t xml:space="preserve">Contrato Interadministrativo para el desarrollo de una investigación en temas relacionados con discapacidad visual </t>
  </si>
  <si>
    <t>CONTRATO INTERADMINISTRATIVO</t>
  </si>
  <si>
    <t>María del Rosario Yepes</t>
  </si>
  <si>
    <t>093-2020</t>
  </si>
  <si>
    <t>UNIVERSIDAD DE ANTIOQUIA</t>
  </si>
  <si>
    <t xml:space="preserve">SE CONSTITUYE CUENTA POR PAGAR MANUAL CON LA FACTURA  FACTURA VBYS4215  POR VALOR DE 2.000.000 POR NO CONTAR CON PAC  </t>
  </si>
  <si>
    <t xml:space="preserve">C-2299-0700-3-0-2299058-02
</t>
  </si>
  <si>
    <t>86101705;86101810</t>
  </si>
  <si>
    <t>098-2020</t>
  </si>
  <si>
    <t>CAJA DE COMPENSACION FAMILIAR CAFAM</t>
  </si>
  <si>
    <t>C-2299-0700-3-0-2299011-02</t>
  </si>
  <si>
    <t>FP-01</t>
  </si>
  <si>
    <t>Mejorar los espacios físicos y accesibilidad de la entidad Fase 2</t>
  </si>
  <si>
    <t>Contrato de prestación de servicios de apoyo a la elaboración de estudios previos y  supervisión de la obra</t>
  </si>
  <si>
    <t>CONTRATO DE PRESTACIÓN DE SERVICIOS PROFESIONALES</t>
  </si>
  <si>
    <t>058-2020</t>
  </si>
  <si>
    <t>FREDDY CHACON CHACON</t>
  </si>
  <si>
    <t>72103300
72151200
72151900
72152500
72152700
72153200
72153600</t>
  </si>
  <si>
    <t>Contrato de servicios de mantenimiento y reparación de infraestructura</t>
  </si>
  <si>
    <t>20720-31120</t>
  </si>
  <si>
    <t>24/09/2020
2020-12-24</t>
  </si>
  <si>
    <t>081-2020</t>
  </si>
  <si>
    <t>CONSTRUCTORA DARJA S A S</t>
  </si>
  <si>
    <t xml:space="preserve">SE CONSTITUYE CUENTA POR PAGAR MANUAL CON LA FACTURA 115 POR VALOR DE $54.656.143,55 POR NO CONTAR CON PAC  </t>
  </si>
  <si>
    <t>13720-23120</t>
  </si>
  <si>
    <t xml:space="preserve">
2020-06-03
2020-10-30</t>
  </si>
  <si>
    <t xml:space="preserve">
49805//057-2020</t>
  </si>
  <si>
    <t xml:space="preserve">IFX NETWORKS COLOMBIA SAS </t>
  </si>
  <si>
    <t xml:space="preserve">SE CONSTITUYE CUENTA POR PAGAR MANUAL CON LAS FACTURAS FACTURAS IFXC - 322740 Y IFXC - 321010  POR VALOR DE $5.029.932 + 1.964.324 Y  3.065.608 POR NO CONTAR CON PAC  </t>
  </si>
  <si>
    <t>057-2020//49805</t>
  </si>
  <si>
    <t>80111600</t>
  </si>
  <si>
    <t>Prestar los servicios de apoyo a la gestion en las actividades y compromisos de la Secretaria General del INCI</t>
  </si>
  <si>
    <t>CONTRATO DE PRESTACIÓN DE SERVICIOS</t>
  </si>
  <si>
    <t>Paula Avendaño</t>
  </si>
  <si>
    <t>024-2020</t>
  </si>
  <si>
    <t>YEIMI ANDREA MATALLANA VARGAS</t>
  </si>
  <si>
    <t>43211503
43211507</t>
  </si>
  <si>
    <t xml:space="preserve">Adquisición de equipos de cómputo para renovación de la plataforma del INCI </t>
  </si>
  <si>
    <t>8/10/2020
2020-11-06</t>
  </si>
  <si>
    <t>083-2020</t>
  </si>
  <si>
    <t>TECNOPHONE COLOMBIA S A S</t>
  </si>
  <si>
    <t>21920-24220</t>
  </si>
  <si>
    <t>GG09</t>
  </si>
  <si>
    <t>Propios 20</t>
  </si>
  <si>
    <t>055-2020</t>
  </si>
  <si>
    <t>A-02-02-02-009-006</t>
  </si>
  <si>
    <t>GG10</t>
  </si>
  <si>
    <t xml:space="preserve">Contratación servicio de Esparcimiento- CAFAM </t>
  </si>
  <si>
    <t>053-2020</t>
  </si>
  <si>
    <t>CAR SCANNERS SAS</t>
  </si>
  <si>
    <t>GG06</t>
  </si>
  <si>
    <t>Adecuaciones tercer piso</t>
  </si>
  <si>
    <t>Evaluación y Mejoramiento Institucional</t>
  </si>
  <si>
    <t>004-2020</t>
  </si>
  <si>
    <t>ANGELA PATRICIA CORTES ALDANA</t>
  </si>
  <si>
    <t>Contrato de prestación de servicios como apoyo al procedimiento de tesorería</t>
  </si>
  <si>
    <t>023-2020</t>
  </si>
  <si>
    <t>GALINDO YINNA</t>
  </si>
  <si>
    <t>A-02-02-02-007-002</t>
  </si>
  <si>
    <t>GG08</t>
  </si>
  <si>
    <t xml:space="preserve">Servicios para realizar los avalúos de los inmuebles del INCI en Bogota </t>
  </si>
  <si>
    <t>107-2020</t>
  </si>
  <si>
    <t>GESVALT LATAM S.A.S.</t>
  </si>
  <si>
    <t xml:space="preserve">
9620</t>
  </si>
  <si>
    <t xml:space="preserve">
2020/03/31</t>
  </si>
  <si>
    <t xml:space="preserve">
049-2020</t>
  </si>
  <si>
    <t>GG01</t>
  </si>
  <si>
    <t>56112204;56112206;56112103;56112104;56101518</t>
  </si>
  <si>
    <t xml:space="preserve">Muebles Institucionales </t>
  </si>
  <si>
    <t>MATERIALES Y SUMINISTRO</t>
  </si>
  <si>
    <t>110-2020</t>
  </si>
  <si>
    <t>MEGAOBRAS CONSTRUCCIONES LIVIANAS S A S</t>
  </si>
  <si>
    <t>GG05</t>
  </si>
  <si>
    <t>Direcionamiento Estratégico</t>
  </si>
  <si>
    <t>81112210
81112200</t>
  </si>
  <si>
    <t>Arrendamiento de software que permita parametrizar e implementar una solución tecnológica para la administración, control y seguimiento de los diferentes instrumentos del Sistema Integrado de Gestión del INCI.</t>
  </si>
  <si>
    <t>SOFTWARE</t>
  </si>
  <si>
    <t>115-2020</t>
  </si>
  <si>
    <t>PENSEMOS S.A</t>
  </si>
  <si>
    <t xml:space="preserve">SE CONSTITUYE CUENTA POR PAGAR MANUAL CON LA FACTURA FACT E 232 POR VALOR DE 668.346.27 POR NO CONTAR CON PAC  </t>
  </si>
  <si>
    <t xml:space="preserve">
12/04/2020</t>
  </si>
  <si>
    <t xml:space="preserve">
048-2020</t>
  </si>
  <si>
    <t>PROTEVIS LTDA PROTECCION VIGILANCIA SEGURIDAD</t>
  </si>
  <si>
    <t>GG03</t>
  </si>
  <si>
    <t>Dotación (prendas de vestir y calzado)</t>
  </si>
  <si>
    <t xml:space="preserve">
30120</t>
  </si>
  <si>
    <t xml:space="preserve">
22-12-2020</t>
  </si>
  <si>
    <t>111-2020</t>
  </si>
  <si>
    <t>SODEXO SERVICIOS DE BENEFICIOS E INCENTIVOS COLOMBIA S.A.</t>
  </si>
  <si>
    <t>GG02</t>
  </si>
  <si>
    <t>47238//054-2020</t>
  </si>
  <si>
    <t xml:space="preserve">Cafe </t>
  </si>
  <si>
    <t>GG04</t>
  </si>
  <si>
    <t>14111704
14111705</t>
  </si>
  <si>
    <t>52151501;52151502;52151503;52151504</t>
  </si>
  <si>
    <t xml:space="preserve">
2020-09-07</t>
  </si>
  <si>
    <t>PROYECTO MEJORAMIENTO DE CONDICIONES PARA LA GARANTIA DE LOS DERECHOS DE LAS PERSONAS CON DISCAPACIDAD VISUAL</t>
  </si>
  <si>
    <t>META</t>
  </si>
  <si>
    <t>2019</t>
  </si>
  <si>
    <t>2020</t>
  </si>
  <si>
    <t>2021</t>
  </si>
  <si>
    <t>2022</t>
  </si>
  <si>
    <t>TOTAL CUATRENIO</t>
  </si>
  <si>
    <t>METAS</t>
  </si>
  <si>
    <t xml:space="preserve">TOTAL CUATRENIO </t>
  </si>
  <si>
    <t>MC 01</t>
  </si>
  <si>
    <t>FP 01</t>
  </si>
  <si>
    <t>Mejorar los espacios físicos y accesibilidad de la entidad</t>
  </si>
  <si>
    <t>FP 02</t>
  </si>
  <si>
    <t>FP 03</t>
  </si>
  <si>
    <t>MC 02</t>
  </si>
  <si>
    <t>FP 04</t>
  </si>
  <si>
    <t>FP 05</t>
  </si>
  <si>
    <t>Disponer de material, productos y ayudas para la adquisición por parte de las  personas con discapacidad visual</t>
  </si>
  <si>
    <t>Transcribir e imprimir libros, textos y material para las personas con discapacidad visual</t>
  </si>
  <si>
    <t>MC 03</t>
  </si>
  <si>
    <t>Promover y asesorar a organizaciones sociales, familia y  otros colectivos de personas con discapacidad visual, para  la participación y el ejercicio de sus derechos</t>
  </si>
  <si>
    <t>TOPE</t>
  </si>
  <si>
    <t>DIFERENCIA</t>
  </si>
  <si>
    <t>Software, Luz, Agua, Bienestar, compu, impresoras, repuestos, papel higienico, Dr Diego, Toner, Papel bond, disel carro, escritorio, contrato tesorería, protección personal</t>
  </si>
  <si>
    <t>FALTA PARA DEJAR EN 0 LA DIFERENCIA</t>
  </si>
  <si>
    <t>tesoreria $500.000 por mes</t>
  </si>
  <si>
    <t>Meta</t>
  </si>
  <si>
    <t>Departamento</t>
  </si>
  <si>
    <t>Municipio</t>
  </si>
  <si>
    <t>Nombre Servidor público</t>
  </si>
  <si>
    <t>Viáticos</t>
  </si>
  <si>
    <t># días</t>
  </si>
  <si>
    <t>SUBTOTAL Viaticos</t>
  </si>
  <si>
    <t>Tiquete Aereo</t>
  </si>
  <si>
    <t>Tiquete Terrestre</t>
  </si>
  <si>
    <t>Columna1</t>
  </si>
  <si>
    <t>Antioquia</t>
  </si>
  <si>
    <t>Bello</t>
  </si>
  <si>
    <t>Nicole Cubillos</t>
  </si>
  <si>
    <t>Itagui</t>
  </si>
  <si>
    <t>Rionegro</t>
  </si>
  <si>
    <t>Cudinamarca</t>
  </si>
  <si>
    <t>Fusagasuga</t>
  </si>
  <si>
    <t>Martha Castro</t>
  </si>
  <si>
    <t>Girardot</t>
  </si>
  <si>
    <t xml:space="preserve">Mosquera </t>
  </si>
  <si>
    <t>Zipaquira</t>
  </si>
  <si>
    <t>Valle</t>
  </si>
  <si>
    <t>Cartago</t>
  </si>
  <si>
    <t>Contratista (2)</t>
  </si>
  <si>
    <t>Jamundi</t>
  </si>
  <si>
    <t xml:space="preserve">Palmira </t>
  </si>
  <si>
    <t>Yumbo</t>
  </si>
  <si>
    <t>Santander</t>
  </si>
  <si>
    <t>Floridablanca</t>
  </si>
  <si>
    <t>Luz Marleny Correa</t>
  </si>
  <si>
    <t>Inter, Taxi Bogota y Taxi stder</t>
  </si>
  <si>
    <t>Piedecuesta</t>
  </si>
  <si>
    <t>Boyacá</t>
  </si>
  <si>
    <t>Duitama</t>
  </si>
  <si>
    <t>Glora Peña</t>
  </si>
  <si>
    <t>La Guajira</t>
  </si>
  <si>
    <t>Maicao</t>
  </si>
  <si>
    <t>Claudia Valdes</t>
  </si>
  <si>
    <t>Córdoba</t>
  </si>
  <si>
    <t>Sahagún</t>
  </si>
  <si>
    <t>Nariño</t>
  </si>
  <si>
    <t>Tumaco</t>
  </si>
  <si>
    <t>Contratista (3)</t>
  </si>
  <si>
    <t>Atlántico</t>
  </si>
  <si>
    <t>Soledad</t>
  </si>
  <si>
    <t>Sandra Cortes</t>
  </si>
  <si>
    <t>Malambo</t>
  </si>
  <si>
    <t>Barranquilla</t>
  </si>
  <si>
    <t>Esperanza Verdugo</t>
  </si>
  <si>
    <t>Boyaca</t>
  </si>
  <si>
    <t>Sogamoso</t>
  </si>
  <si>
    <t>Caqueta</t>
  </si>
  <si>
    <t>Florencia</t>
  </si>
  <si>
    <t>Contratista (Yolanda)</t>
  </si>
  <si>
    <t>Cauca</t>
  </si>
  <si>
    <t>Popayan</t>
  </si>
  <si>
    <t>Guaviare</t>
  </si>
  <si>
    <t>San Jose del Guaviare</t>
  </si>
  <si>
    <t>La guajira</t>
  </si>
  <si>
    <t>Riohacha y Maicao</t>
  </si>
  <si>
    <t>Villavicencio</t>
  </si>
  <si>
    <t>Patricia Montoya</t>
  </si>
  <si>
    <t>Pasto</t>
  </si>
  <si>
    <t>Risaralda</t>
  </si>
  <si>
    <t>Pereira</t>
  </si>
  <si>
    <t>San Andrés</t>
  </si>
  <si>
    <t>Casanare</t>
  </si>
  <si>
    <t>Yopal</t>
  </si>
  <si>
    <t>Contratista (Marcela)</t>
  </si>
  <si>
    <t>3.5</t>
  </si>
  <si>
    <t>Chocó</t>
  </si>
  <si>
    <t>Quibdo</t>
  </si>
  <si>
    <t>Putumayo</t>
  </si>
  <si>
    <t>Puerto Asis</t>
  </si>
  <si>
    <t>Magdalena</t>
  </si>
  <si>
    <t>Santa Marta</t>
  </si>
  <si>
    <t>Vaupes</t>
  </si>
  <si>
    <t>Mitu</t>
  </si>
  <si>
    <t>Departamento 1</t>
  </si>
  <si>
    <t>Municipio 1</t>
  </si>
  <si>
    <t>Santiago Rodríguez</t>
  </si>
  <si>
    <t>Departamento 2</t>
  </si>
  <si>
    <t>Municipio 2</t>
  </si>
  <si>
    <t>Edwin Beltran</t>
  </si>
  <si>
    <t>SUB TOTAL INVESTIGACIÓN</t>
  </si>
  <si>
    <t>Modificación 18 de enero</t>
  </si>
  <si>
    <t>Luis Ignacio Maya</t>
  </si>
  <si>
    <t>TOTAL INVESTIGACIÓN</t>
  </si>
  <si>
    <t>Mariño</t>
  </si>
  <si>
    <t>MCE NET SOLUTIONS SAS</t>
  </si>
  <si>
    <t>058-2021</t>
  </si>
  <si>
    <t>REALTIME C &amp; S SAS</t>
  </si>
  <si>
    <t>059-2021</t>
  </si>
  <si>
    <t>060-2021</t>
  </si>
  <si>
    <t>INSERTEL GRM S.A.S</t>
  </si>
  <si>
    <t>061-2021</t>
  </si>
  <si>
    <t>3621-13221</t>
  </si>
  <si>
    <t>Circular No 3</t>
  </si>
  <si>
    <t xml:space="preserve">Contratación de mantenimiento de las maquinas Index de la imprenta Nacional para Ciegos 
Se cambia por: 
Prestar el servicio de dos (2) mantenimientos preventivos y/o correctivos con suministro de partes, repuestos y actualización de Firmware de  las máquinas de impresión Index Braille Everest e Index Braille Box que operan en la Imprenta Nacional para Ciegos del INCI. </t>
  </si>
  <si>
    <t>Adquisición de anillo doble O para la producción de libros en la imprenta nacional para ciegos.</t>
  </si>
  <si>
    <t>Adquisición de láminas de acrilicos  colores surtidos para el proceso de señalización en la imprenta nacional para ciegos.</t>
  </si>
  <si>
    <t>Adquisición de anillo plastico para la elaboración de productos impresos  en tinta braille en la imprenta nacional para ciegos.</t>
  </si>
  <si>
    <t>Minima Cuantía</t>
  </si>
  <si>
    <t xml:space="preserve">Contratación de mantenimiento de la máquina PED de la imprenta Nacional para Ciegos 
Se cambia por: 
Prestación de servicios para el mantenimiento preventivo y/o correctivo con suministro de repuestos de la máquina estereotipadora PED-30 ubicada en la Imprenta Nacional para Ciegos del INCI
</t>
  </si>
  <si>
    <t xml:space="preserve">Contratación de mantenimiento de  máquina de señalización (impresora cama plana UV LED) y máquina de corte laser ubicada en la Imprenta Nacional para Ciegos
Se cambia por: 
Prestar el servicio de mantenimiento correctivo y/o preventivo, incluida mano de obra y bolsa de repuestos para las máquinas impresoras Direct Color Systems 1800Z y Direct Color Systems 1800 BG de impresión en tinta UV LED de la Imprenta Nacional para Ciegos del INCI.  </t>
  </si>
  <si>
    <t>14121904
Se cambia por: 
14111519
14121904</t>
  </si>
  <si>
    <t>Adquisición de papel para realizar la producción de impresos en tinta braille en la imprenta
Se cambia por: 
Adquisición de cartulina bristol blanca de 150 grs en pliegos de  70x100 cms para la impresión de productos en tinta braille en la  Imprenta Nacional para Ciegos</t>
  </si>
  <si>
    <t>Adquisición de cajas de cartón  para el proceso de finalizado y empaque  en la Imprenta Nacional para Ciegos.</t>
  </si>
  <si>
    <t>3
se cambia a 7</t>
  </si>
  <si>
    <t>4
Se cambia a 7</t>
  </si>
  <si>
    <t>2
Se cambia a 7</t>
  </si>
  <si>
    <t>3
Se cambia a 7</t>
  </si>
  <si>
    <t>8
Se cambia a 5</t>
  </si>
  <si>
    <t>5
Se cambia a 3</t>
  </si>
  <si>
    <t>PANAMERICANA LIBRERIA Y PAPELERIA SA</t>
  </si>
  <si>
    <t>064-2021</t>
  </si>
  <si>
    <t>GOMEZ AVILA MARYURY</t>
  </si>
  <si>
    <t>WILMAR JAVIER MEDINA LOZANO</t>
  </si>
  <si>
    <t>063-2021</t>
  </si>
  <si>
    <t>11
Se modificó a 6</t>
  </si>
  <si>
    <t>159 días</t>
  </si>
  <si>
    <t>Prestación de servicios de actualización, mantenimiento y soporte del sistema Administrativo y Financiero WEBSAFI-ERP, del Instituto nacional para ciegos – INCI.</t>
  </si>
  <si>
    <t>Menor Cuantía
Se modifica a minima cuantía</t>
  </si>
  <si>
    <t>2
Se reduce a 1</t>
  </si>
  <si>
    <t>2
Se modifica a 8</t>
  </si>
  <si>
    <t>10
Se modifica a 5</t>
  </si>
  <si>
    <t>3
Se modifica a 7</t>
  </si>
  <si>
    <t>8
Se modifica a 5</t>
  </si>
  <si>
    <t>066-2021</t>
  </si>
  <si>
    <t>SOLTEC PROYECTOS DE INGENIERÍA S.A.S.</t>
  </si>
  <si>
    <t>065-2021</t>
  </si>
  <si>
    <t>067-021</t>
  </si>
  <si>
    <t>GUTIERREZ MALO VICTORIA EUGENIA</t>
  </si>
  <si>
    <t xml:space="preserve">VIATICOS </t>
  </si>
  <si>
    <t>TRANSPORTE</t>
  </si>
  <si>
    <t>068-2021//73600</t>
  </si>
  <si>
    <t>070-2021</t>
  </si>
  <si>
    <t>FUNDACION BEST BUDDIES COLOMBIA</t>
  </si>
  <si>
    <t>069-2021</t>
  </si>
  <si>
    <t>074-2021</t>
  </si>
  <si>
    <t>Mantenimiento de Software de costeo 
Se cambia por: 
Arrendamiento software de costeo
Se cambia por: 
“Prestación de servicios de actualización, mantenimiento y soporte del software en línea de gestión empresarial especializado en artes gráficas INEDITTO Software Integral de Gestión Empresarial®, de acuerdo a las necesidades de la Imprenta Nacional para Ciegos del INCI.”</t>
  </si>
  <si>
    <t>4
Se modifica a 8</t>
  </si>
  <si>
    <t>13102030;
13111045;
60121015
Se cambia por 81112500</t>
  </si>
  <si>
    <t>Contrato de asociación de capacitación en habilidades blandas para la población con D.V.,  en el marco del proyecto de mejoramiento de condiciones para la garantía de los derechos de las personas con discapacidad visual del país.
Se cambia por: Aunar esfuerzos para la formación de las personas con discapacidad visual en habilidades socioemocionales que faciliten su empleabilidad</t>
  </si>
  <si>
    <t xml:space="preserve">Circular No 2
Circular No 3
</t>
  </si>
  <si>
    <t>Circular No 2
Circular No 3</t>
  </si>
  <si>
    <t>5
Se modifica a 8</t>
  </si>
  <si>
    <t>6
Se modifica a 8</t>
  </si>
  <si>
    <t>Prestar servicios profesionales de indole tributario para el diagnostico e implementacion en temas de responsabilidad de impuestos de la entidad 
Se modifica asi: 
Prestación de servicios profesionales de un contador público experto en temas tributarios, que acompañe el manejo tributario de la entidad.</t>
  </si>
  <si>
    <t>3
Se modifica por 8</t>
  </si>
  <si>
    <t>5
Se modifica por 4</t>
  </si>
  <si>
    <t>93161800
Se cambia por 80111600</t>
  </si>
  <si>
    <t>Prestación de servicios como técnico en gestión documental, apoyando la ejecución de las diferentes labores y actividades administrativas y técnicas de la gestión documental en las diferentes áreas del Instituto Nacional para Ciegos – INCI. 1</t>
  </si>
  <si>
    <t>Prestación de servicios como técnico en gestión documental, apoyando la ejecución de las diferentes labores y actividades administrativas y técnicas de la gestión documental en las diferentes áreas del Instituto Nacional para Ciegos – INCI. 2</t>
  </si>
  <si>
    <t>Prestación de servicios como técnico en gestión documental, apoyando la ejecución de las diferentes labores y actividades administrativas y técnicas de la gestión documental en las diferentes áreas del Instituto Nacional para Ciegos – INCI. 3</t>
  </si>
  <si>
    <t xml:space="preserve">Gestion Contractual </t>
  </si>
  <si>
    <t>071-2021</t>
  </si>
  <si>
    <t>VENEPLAST LTDA</t>
  </si>
  <si>
    <t>075-2021//74376</t>
  </si>
  <si>
    <t>GRUPO INEDITTO SAS</t>
  </si>
  <si>
    <t>076-2021</t>
  </si>
  <si>
    <t>078-2021</t>
  </si>
  <si>
    <t>SOLUCIONES INTEGRALES VER S .A .S . E .P.</t>
  </si>
  <si>
    <t>079-2021</t>
  </si>
  <si>
    <t>072-2021</t>
  </si>
  <si>
    <t>GREEN FON GROUP S.A.S</t>
  </si>
  <si>
    <t>STAR SOLUTIONS TI S.A.S.</t>
  </si>
  <si>
    <t>073-2021</t>
  </si>
  <si>
    <t>CORE IP S.A.S.</t>
  </si>
  <si>
    <t>054-2021</t>
  </si>
  <si>
    <t>055-2021</t>
  </si>
  <si>
    <t>080-2021</t>
  </si>
  <si>
    <t>SALAVARRIETA TUNJO JOVANNA HASBLEIDY</t>
  </si>
  <si>
    <t>084-2021</t>
  </si>
  <si>
    <t>ARIAS QUINTERO SINDY YOHANA</t>
  </si>
  <si>
    <t>085-2021</t>
  </si>
  <si>
    <t>CORTES URIBE NOHORA NANCY</t>
  </si>
  <si>
    <t>086-2021</t>
  </si>
  <si>
    <t>NEGOCIOS Y SOLUCIONES INTELIGENTES SAS</t>
  </si>
  <si>
    <t>081-2021</t>
  </si>
  <si>
    <t>SUGEEK SAS</t>
  </si>
  <si>
    <t>082-2021</t>
  </si>
  <si>
    <t>Urueña Sánchez Maria Acenet</t>
  </si>
  <si>
    <t>087-2021</t>
  </si>
  <si>
    <t>CONTROL SERVICES ENGINEERING S.A.S</t>
  </si>
  <si>
    <t>083-2021</t>
  </si>
  <si>
    <t>16521-19421</t>
  </si>
  <si>
    <t>10/08/2021
2021-09-08</t>
  </si>
  <si>
    <t>088-2021</t>
  </si>
  <si>
    <t>NOVA GOMEZ NELSON</t>
  </si>
  <si>
    <t>089-2021</t>
  </si>
  <si>
    <t>COLOMBIA TELECOMUNICACIONES S.A. E.S.P.
EMPRESA DE TELECOMUNICACIONES DE BOGOTA SA ESP 
COMUNICACION CELULAR S A  COMCEL S A</t>
  </si>
  <si>
    <t>ASEGURADORA SOLIDARIA DE COLOMBIA ENTIDAD COOPERATIVA
AXA COLPATRIA SEGUROS S.A</t>
  </si>
  <si>
    <t>105-2020
091-2021</t>
  </si>
  <si>
    <t>093-2021</t>
  </si>
  <si>
    <t>K10 DESIGN S.A.S.</t>
  </si>
  <si>
    <t>Circular No 1
Circular No 3</t>
  </si>
  <si>
    <t xml:space="preserve">Circular No 1 
Circular No 3 </t>
  </si>
  <si>
    <t>GG-12</t>
  </si>
  <si>
    <t>Adquisición de paneles y lámparas de iluminación tipo LED para ser instalados en el INSTITUTO NACIONAL PARA CIEGOS</t>
  </si>
  <si>
    <t>A-02-02-01-004-006</t>
  </si>
  <si>
    <t>Prestar los servicios  profesionales de consultoría para la elaboración de la evaluación y diagnóstico para el cerramiento del predio propiedad del INCI e INSOR en el municipio de Santander de Quilichao.</t>
  </si>
  <si>
    <t>Sandra Castro</t>
  </si>
  <si>
    <t>2
Se cambia por 10</t>
  </si>
  <si>
    <t>3
Se cambia por 10</t>
  </si>
  <si>
    <t>6
Se cambia por 3</t>
  </si>
  <si>
    <t>Mínima Cuantía
Se cambia a contratación directa</t>
  </si>
  <si>
    <t>11421-19121</t>
  </si>
  <si>
    <t>15121-21121</t>
  </si>
  <si>
    <t>27/07/2021
2021-09-28</t>
  </si>
  <si>
    <t>EQUIPO SERVICIO MANTENIMIENTO EXTINTORES LIMITADA</t>
  </si>
  <si>
    <t>097-2021</t>
  </si>
  <si>
    <t>FERRICENTROS S.A.S</t>
  </si>
  <si>
    <t>098-2021//76754</t>
  </si>
  <si>
    <t>CAMERFIRMA COLOMBIA SAS</t>
  </si>
  <si>
    <t>095-2021</t>
  </si>
  <si>
    <t>AUTOS MONGUI SAS</t>
  </si>
  <si>
    <t>099-2021</t>
  </si>
  <si>
    <t>100-2021</t>
  </si>
  <si>
    <t>C.I. MORASU S.A.S.</t>
  </si>
  <si>
    <t>- ! AAA ENGYGAS S.A.S ! -</t>
  </si>
  <si>
    <t>096-2021</t>
  </si>
  <si>
    <t>094-2021</t>
  </si>
  <si>
    <t>VIATICOS</t>
  </si>
  <si>
    <t>14821-20221</t>
  </si>
  <si>
    <t>090-2021</t>
  </si>
  <si>
    <t>RESOLUCION 
0026</t>
  </si>
  <si>
    <t>CONTRALORIA GENERAL DE LA REPUBLICA</t>
  </si>
  <si>
    <t>CUENTA POR PAGAR /RESERVA</t>
  </si>
  <si>
    <t xml:space="preserve">SE CONSTITUYE CUENTA POR PAGAR MANUAL FACTURA FEC 1110063 POR VALOR DE $20.995.813 POR NO CONTAR CON PAC  </t>
  </si>
  <si>
    <t>101-2021</t>
  </si>
  <si>
    <t>14421-22821</t>
  </si>
  <si>
    <t>13/07/2021
2021-10-08</t>
  </si>
  <si>
    <t>062-2021
ORDEN 72020
102-2021//77416</t>
  </si>
  <si>
    <t>PANAMERICANA LIBRERIA Y PAPELERIA SA
CENCOSUD COLOMBIA  S.A.</t>
  </si>
  <si>
    <t>20211000001043
20211000001053
20211000001173
20211000001253
20211000001263
20211000001343
20211000001353
20211000001503
20211000001563</t>
  </si>
  <si>
    <t>20211000001043
20211000001053
20211000001173
20211000001253
20211000001263
20211000001343
20211000001353
20211000001503
20211000001583
20211000001563</t>
  </si>
  <si>
    <t>20921-21021</t>
  </si>
  <si>
    <t>17921-18021-18721-20321-21121-21421-21521</t>
  </si>
  <si>
    <t>21721-21821</t>
  </si>
  <si>
    <t>14421-14521-15121-16121-16421-17421-17821-18221-19021-20821-21221-21321-22121</t>
  </si>
  <si>
    <t>14421-14521-15121-16121-16421-17421-17821-18221-19021-21221-21321-22121</t>
  </si>
  <si>
    <t>2/08/2021
2021-08-26
2021-08-27
2021-09-07
2021-09-09 
2021/09/30
2021-10-11
2021-10-21
2021-10-27</t>
  </si>
  <si>
    <t>15521-15621-17021-17521-17721-19221-19721-22021-23021-23421-24121</t>
  </si>
  <si>
    <t>22321-22421-22521</t>
  </si>
  <si>
    <t>Circular No 3
Circular No 4</t>
  </si>
  <si>
    <t>Circular No 2
Circular No 3
Circular No 4</t>
  </si>
  <si>
    <t>BAUTISTA VEGA CONSTRUCCIONES S.A.S.</t>
  </si>
  <si>
    <t>103-2021</t>
  </si>
  <si>
    <t>19521-23321</t>
  </si>
  <si>
    <t>9/09/2021
2021-10-21</t>
  </si>
  <si>
    <t>MERCHAN RIOS OSCAR ANDRES
REYES BELTRAN KAREN DENISSE</t>
  </si>
  <si>
    <t>Contratación de entidad para el desarrollo de investigación, en el marco del proyecto de mejoramiento de condiciones para la garantía de los derechos de las personas con discapacidad visual del país.
Se cambia por: 
Aunar esfuerzos técnicos, administrativos y financieros, para desarrollar el proyecto de investigación denominado: “acceso a la información como derecho fundamental por parte de personas con discapacidad visual mediante el uso de tecnología en distintos contextos” con el fin de consolidar un documento que brinde orientaciones para la implementación de servicios para el acceso a la información por personas con discapacidad visual a través de la tecnología</t>
  </si>
  <si>
    <t>23521-24321</t>
  </si>
  <si>
    <t>21-10-2021
27-10-2021</t>
  </si>
  <si>
    <t>20211000001613
20211000001703</t>
  </si>
  <si>
    <t>19921-19821-20721-23621-23721-24221</t>
  </si>
  <si>
    <t>14/09/2021
2021-09-24
14/09/2021
2021-09-24
21-10-2021
27-10-2021</t>
  </si>
  <si>
    <t>20211000001363
20211000001373
20211000001613
20211000001703</t>
  </si>
  <si>
    <t>Circular No 4</t>
  </si>
  <si>
    <t>Adquisición de scanner</t>
  </si>
  <si>
    <t xml:space="preserve">Adquisición de scanner </t>
  </si>
  <si>
    <t>UT SOFTLINEBEX2020</t>
  </si>
  <si>
    <t>092-2021//76277</t>
  </si>
  <si>
    <t>106-2021</t>
  </si>
  <si>
    <t>24421-24521-24921-25021-25121</t>
  </si>
  <si>
    <t xml:space="preserve">30/10/2021
2021-11-03
</t>
  </si>
  <si>
    <t>ZARATE ARIZA PAULA ALEJANDRA
RODRIGUEZ RODRIGUEZ PILAR CRISTINA
 JORGE ERNESTO HUERTAS RONDON
 YEIMY GABRIELA GOMEZ MORENO
JENNIFER  PATIÑO CASILIMAS</t>
  </si>
  <si>
    <t>104-2021-
105-2021-
107-2021
108-2021
109-2021</t>
  </si>
  <si>
    <t>Circular No 1
Circular No 3
Circular No 4</t>
  </si>
  <si>
    <t>Jenny Malaver</t>
  </si>
  <si>
    <t>9521-12321-22921</t>
  </si>
  <si>
    <t xml:space="preserve">Adquisición de láminas en acero galvanizado recubierto en zinc incluido corte y doblado para impresión en braille en máquina Estereotipadora PED-30 de la Imprenta del Instituto Nacional para Ciegos
</t>
  </si>
  <si>
    <t xml:space="preserve">Circular No 3
</t>
  </si>
  <si>
    <t>17921-18021-18721-20321-22121-21421-21521-23621-23721-23821-23921-24021-24121</t>
  </si>
  <si>
    <t>21721-21821-24221-24321-24421-24521</t>
  </si>
  <si>
    <t>Convenio de asociación con la Federación Colombiana de Organizaciones de Personas con Discapacidad Visual –FECODIV para el fortalecimiento de la participación de las personas con discapacidad visual
Se modifica así: 
Aunar esfuerzos físicos, administrativos y financieros con el fin de promover las capacidades de emprendimiento de las personas con discapacidad visual y de esta manera generar fuentes de ingreso y productividad.</t>
  </si>
  <si>
    <t>5421-6421-23021-24621</t>
  </si>
  <si>
    <t>5421-6421-12821-15321-17721-20721-23021-24621</t>
  </si>
  <si>
    <t>11321-20021-25521</t>
  </si>
  <si>
    <t xml:space="preserve">27/05/2021
2021-09-16
2021-11-12 </t>
  </si>
  <si>
    <t>5621-7321-26521</t>
  </si>
  <si>
    <t>5621-7321-14321-16321-19321-22621-26521</t>
  </si>
  <si>
    <t>16/02/2021
10-03-2021
2021-11-24</t>
  </si>
  <si>
    <t>16/02/2021
10-03-2021
2021-07-09 
2021-08-05
2021-09-07
07-10-2021
2021-11-24</t>
  </si>
  <si>
    <t>RESOLUCION
20211120000253
20211120000393
20211000001973</t>
  </si>
  <si>
    <t>RESOLUCION
20211120000253
20211120000393
20211000000903
20211000001113
20211000001333
20211000001543
20211000001973</t>
  </si>
  <si>
    <t>14/09/2021
2021-09-24
14/09/2021
2021-09-24
21-10-2021
27-10-2021
26-11-2021</t>
  </si>
  <si>
    <t>19921-19821-20721-23621-23721-24221-26621-26921-27121-27221-27421-27521</t>
  </si>
  <si>
    <t>20211000001363
20211000001373
20211000001613
20211000001703
20211000001983
2021100002013
2021100002033
20211000002043
2021100002063
2021100002073</t>
  </si>
  <si>
    <t>19821-23121</t>
  </si>
  <si>
    <t>22721-26321</t>
  </si>
  <si>
    <t>8/10/2021
23-11-2021</t>
  </si>
  <si>
    <t>24021-25321-25421</t>
  </si>
  <si>
    <t>27/10/2021
10-11-2021</t>
  </si>
  <si>
    <t>24021-25321-25421-26721-26821-27021-27321</t>
  </si>
  <si>
    <t>27/10/2021
10-11-2021
26-11-2021</t>
  </si>
  <si>
    <t>15521-15621-17021-17521-17721-19221-19721-22021-22921-23021-23421-24121-25321</t>
  </si>
  <si>
    <t>2/08/2021
2021-08-26
2021-08-27
2021-09-07
2021-09-09 
2021/09/30
2021-10-11
2021-10-21
2021-10-27
10-11-221</t>
  </si>
  <si>
    <t>20211000001993
20211000001763
20211000002003
2021100002023
2021100002053</t>
  </si>
  <si>
    <t>20211000001753
20211000001993
20211000001763</t>
  </si>
  <si>
    <t>Renovación de la suscripción software Suite Visión Empresarial incluyendo licencias adicionales
Se cambia por: 
Renovación y  adquisición de las licencias de acceso en la nube a los módulos de indicadores, planes, documentos y gestión del riesgo del software Suite Visión Empresarial para el manejo del Sistema Integrado de Gestión del Instituto Nacional para Ciegos INCI </t>
  </si>
  <si>
    <t>3921-7921-10221-15221-20521-24921</t>
  </si>
  <si>
    <t>5421-6421-8421-10121-12821-15321-17721-20721-23021-24621-25021</t>
  </si>
  <si>
    <t>2721-9221-11821-15921-22421-27921</t>
  </si>
  <si>
    <t>28/01/2021
08-04-2021
2021-06-02
2021-08-03 
2021-10-06
2021-12-02</t>
  </si>
  <si>
    <t>5621-7321-9721
11921-14321-16321-19321-22621-26521-28221</t>
  </si>
  <si>
    <t>16/02/2021
10-03-2021
09-04-2021
02-06-2021
2021-07-09
2021-08-05
2021-09-07 
2021-10-07
2021-11-24
2021-12-06</t>
  </si>
  <si>
    <t>RESOLUCION
20211120000253
20211120000393
20211000000483
20211000000903
20211000001113
20211000001333
20211000001543
20211000001973
20211000002103</t>
  </si>
  <si>
    <t>110-2021</t>
  </si>
  <si>
    <t>FEDERACION COLOMBIANA DE ORGANIZACIONES DE PERSONAS CON DISCAPACIDAD VISUAL</t>
  </si>
  <si>
    <t>MORENO VARGAS WILLIAM ALIRIO
DUQUE LINARES DAVID ALEJANDRO</t>
  </si>
  <si>
    <t>8 días</t>
  </si>
  <si>
    <t>11 DÍAS</t>
  </si>
  <si>
    <t>921-25521</t>
  </si>
  <si>
    <t>4621-6321-7821-9021-10321-12921-15421-17621-20421-22821-25221-25721</t>
  </si>
  <si>
    <t>4621-6321-7821-9021-10321-12921-15421-17621-20421-22821-252221-25821</t>
  </si>
  <si>
    <t>421-1221-5121-5521-6521-6821-8021-8721-9221-9921-10421-12121-13521-13821-15521-16221-16621-18321-18621-21621-21921-23521-23221-23521-25421-25921</t>
  </si>
  <si>
    <t>19921-24821</t>
  </si>
  <si>
    <t>111-/2021</t>
  </si>
  <si>
    <t>421-1221-5121-5721-7421-7621-9321-20421
9821
10821
11221
12121-12221-14421-14821-16221-16221-17321-17621-20121-23221-23821-25821-26421-28621-29121</t>
  </si>
  <si>
    <t>15/01/2021
10-02-2021
2021-01-20 
18-02-2021
10-03-2021 
17-03-2021
08-04-2021
22-04-2021
2021-05-07
2021-05-26
             2021-04-06              26/06/2021
2021-07-14 
2021-07-19
2021-08-04
2021-08-19
2021-08-27
17-09-2021
22-09-2021
2021-10-20
2021-10-21
2021-11-17 
2021-11-24
2021-12-17 
2021-12-20</t>
  </si>
  <si>
    <t>721-28721</t>
  </si>
  <si>
    <t xml:space="preserve">19/01/2021
2021-12-17 </t>
  </si>
  <si>
    <t>4621-7121-9121-10621-12021-14021-16121-19121-22321-25221-28321-28921</t>
  </si>
  <si>
    <t>4/02/2021
04-03-2021
07-04-2021
05-05-2021
05-06-2021
2021-07-06 
2021-08-04 
2021-09-03 
2021-10-06
2021-11-05
2021-12-2021
20-12-2021</t>
  </si>
  <si>
    <t>4621-7121-9121-10621-12021-14021-16121-19121-22321-25221-28321-29021</t>
  </si>
  <si>
    <t>112-2021</t>
  </si>
  <si>
    <t>20/01/2021
2021-03-25
2021-11-16 -27-12-2021-30-12-2021</t>
  </si>
  <si>
    <t>1321-8221-25721-29721-29821</t>
  </si>
  <si>
    <t>PLAN ANUAL DE ADQUISICIONES 2021 CON CORTE A 31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</si>
</sst>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 #,##0_-;\-&quot;$&quot;\ * #,##0_-;_-&quot;$&quot;\ * &quot;-&quot;_-;_-@_-"/>
    <numFmt numFmtId="43" formatCode="_-* #,##0.00_-;\-* #,##0.00_-;_-* &quot;-&quot;??_-;_-@_-"/>
    <numFmt numFmtId="164" formatCode="_(* #,##0_);_(* \(#,##0\);_(* &quot;-&quot;_);_(@_)"/>
    <numFmt numFmtId="165" formatCode="_(* #,##0.00_);_(* \(#,##0.00\);_(* &quot;-&quot;??_);_(@_)"/>
    <numFmt numFmtId="166" formatCode="_(&quot;$&quot;\ * #,##0.00_);_(&quot;$&quot;\ * \(#,##0.00\);_(&quot;$&quot;\ * &quot;-&quot;??_);_(@_)"/>
    <numFmt numFmtId="167" formatCode="&quot;$&quot;\ #,##0.0"/>
    <numFmt numFmtId="168" formatCode="&quot;$&quot;\ #,##0.00"/>
    <numFmt numFmtId="169" formatCode="&quot;$&quot;\ #,##0"/>
    <numFmt numFmtId="170" formatCode="_(* #,##0_);_(* \(#,##0\);_(* &quot;-&quot;??_);_(@_)"/>
    <numFmt numFmtId="171" formatCode="_-* #.##0_-;\-* #.##0_-;_-* &quot;-&quot;_-;_-@_-"/>
    <numFmt numFmtId="172" formatCode="#.##0;\-#.##0"/>
    <numFmt numFmtId="173" formatCode="_-* #.##0.00_-;\-* #.##0.00_-;_-* &quot;-&quot;??_-;_-@_-"/>
    <numFmt numFmtId="174" formatCode="_(&quot;$&quot;\ * #,##0_);_(&quot;$&quot;\ * \(#,##0\);_(&quot;$&quot;\ * &quot;-&quot;??_);_(@_)"/>
    <numFmt numFmtId="175" formatCode="_-&quot;$&quot;\ * #.##0.00_-;\-&quot;$&quot;\ * #.##0.00_-;_-&quot;$&quot;\ * &quot;-&quot;??_-;_-@_-"/>
    <numFmt numFmtId="176" formatCode="yyyy\-mm\-dd;@"/>
    <numFmt numFmtId="177" formatCode="_(* #.##0.00_);_(* \(#.##0.00\);_(* &quot;-&quot;??_);_(@_)"/>
    <numFmt numFmtId="178" formatCode="_-* #,##0_-;\-* #,##0_-;_-* &quot;-&quot;??_-;_-@_-"/>
    <numFmt numFmtId="179" formatCode="_(* #,##0.00_);_(* \(#,##0.00\);_(* &quot;-&quot;_);_(@_)"/>
    <numFmt numFmtId="180" formatCode="_-&quot;$&quot;\ * #,##0.00_-;\-&quot;$&quot;\ * #,##0.00_-;_-&quot;$&quot;\ *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2"/>
      <color theme="1"/>
      <name val="Arial"/>
      <family val="2"/>
    </font>
    <font>
      <sz val="14"/>
      <color theme="1"/>
      <name val="Arial"/>
      <family val="2"/>
    </font>
    <font>
      <b/>
      <sz val="14"/>
      <color theme="1"/>
      <name val="Arial"/>
      <family val="2"/>
    </font>
    <font>
      <b/>
      <sz val="12"/>
      <color theme="1"/>
      <name val="Arial"/>
      <family val="2"/>
    </font>
    <font>
      <u/>
      <sz val="11"/>
      <color theme="10"/>
      <name val="Calibri"/>
      <family val="2"/>
      <scheme val="minor"/>
    </font>
    <font>
      <b/>
      <sz val="12"/>
      <name val="Arial"/>
      <family val="2"/>
    </font>
    <font>
      <sz val="12"/>
      <name val="Arial"/>
      <family val="2"/>
    </font>
    <font>
      <b/>
      <sz val="9"/>
      <color indexed="81"/>
      <name val="Tahoma"/>
      <family val="2"/>
    </font>
    <font>
      <sz val="9"/>
      <color indexed="81"/>
      <name val="Tahoma"/>
      <family val="2"/>
    </font>
    <font>
      <b/>
      <sz val="14"/>
      <name val="Arial"/>
      <family val="2"/>
    </font>
    <font>
      <b/>
      <sz val="10"/>
      <color theme="1"/>
      <name val="Verdana"/>
      <family val="2"/>
    </font>
    <font>
      <sz val="11"/>
      <color rgb="FF000000"/>
      <name val="Calibri"/>
      <family val="2"/>
      <scheme val="minor"/>
    </font>
    <font>
      <sz val="10"/>
      <name val="Arial"/>
      <family val="2"/>
    </font>
    <font>
      <sz val="10"/>
      <color theme="1"/>
      <name val="Verdana"/>
      <family val="2"/>
    </font>
    <font>
      <b/>
      <sz val="12"/>
      <color indexed="81"/>
      <name val="Tahoma"/>
      <family val="2"/>
    </font>
    <font>
      <b/>
      <sz val="12"/>
      <color rgb="FF000000"/>
      <name val="Arial"/>
      <family val="2"/>
    </font>
    <font>
      <b/>
      <sz val="12"/>
      <color theme="1"/>
      <name val="Calibri"/>
      <family val="2"/>
      <scheme val="minor"/>
    </font>
    <font>
      <sz val="11"/>
      <color rgb="FF000000"/>
      <name val="Arial"/>
      <family val="2"/>
    </font>
    <font>
      <sz val="10"/>
      <color theme="1"/>
      <name val="Arial"/>
      <family val="2"/>
    </font>
    <font>
      <sz val="12"/>
      <color theme="1"/>
      <name val="Calibri"/>
      <family val="2"/>
      <scheme val="minor"/>
    </font>
    <font>
      <sz val="11"/>
      <name val="Arial"/>
      <family val="2"/>
    </font>
    <font>
      <u/>
      <sz val="11"/>
      <color theme="10"/>
      <name val="Arial"/>
      <family val="2"/>
    </font>
    <font>
      <b/>
      <sz val="14"/>
      <color theme="1"/>
      <name val="Calibri"/>
      <family val="2"/>
      <scheme val="minor"/>
    </font>
    <font>
      <b/>
      <sz val="14"/>
      <color rgb="FF000000"/>
      <name val="Arial"/>
      <family val="2"/>
    </font>
    <font>
      <sz val="12"/>
      <color rgb="FF000000"/>
      <name val="Arial"/>
      <family val="2"/>
    </font>
    <font>
      <sz val="12"/>
      <name val="Arial Narrow"/>
      <family val="2"/>
    </font>
    <font>
      <sz val="20"/>
      <color theme="1"/>
      <name val="Calibri"/>
      <family val="2"/>
      <scheme val="minor"/>
    </font>
    <font>
      <sz val="16"/>
      <color theme="1"/>
      <name val="Arial"/>
      <family val="2"/>
    </font>
    <font>
      <sz val="8"/>
      <name val="Calibri"/>
      <family val="2"/>
      <scheme val="minor"/>
    </font>
    <font>
      <u/>
      <sz val="11"/>
      <name val="Calibri"/>
      <family val="2"/>
      <scheme val="minor"/>
    </font>
    <font>
      <sz val="18"/>
      <color theme="1"/>
      <name val="Arial"/>
      <family val="2"/>
    </font>
  </fonts>
  <fills count="31">
    <fill>
      <patternFill patternType="none"/>
    </fill>
    <fill>
      <patternFill patternType="gray125"/>
    </fill>
    <fill>
      <patternFill patternType="solid">
        <fgColor theme="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59999389629810485"/>
        <bgColor rgb="FFFDE9D9"/>
      </patternFill>
    </fill>
    <fill>
      <patternFill patternType="solid">
        <fgColor rgb="FFDBE5F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CFF99"/>
        <bgColor indexed="64"/>
      </patternFill>
    </fill>
    <fill>
      <patternFill patternType="solid">
        <fgColor rgb="FFFFFF99"/>
        <bgColor indexed="64"/>
      </patternFill>
    </fill>
    <fill>
      <patternFill patternType="solid">
        <fgColor rgb="FFF8CBAD"/>
        <bgColor indexed="64"/>
      </patternFill>
    </fill>
    <fill>
      <patternFill patternType="solid">
        <fgColor rgb="FFFFFFFF"/>
        <bgColor indexed="64"/>
      </patternFill>
    </fill>
    <fill>
      <patternFill patternType="solid">
        <fgColor rgb="FFEDEDED"/>
        <bgColor indexed="64"/>
      </patternFill>
    </fill>
    <fill>
      <patternFill patternType="solid">
        <fgColor rgb="FFCC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theme="4"/>
      </top>
      <bottom/>
      <diagonal/>
    </border>
    <border>
      <left/>
      <right/>
      <top/>
      <bottom style="thin">
        <color indexed="64"/>
      </bottom>
      <diagonal/>
    </border>
  </borders>
  <cellStyleXfs count="21">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2" borderId="0" applyNumberFormat="0" applyBorder="0" applyAlignment="0" applyProtection="0"/>
    <xf numFmtId="0" fontId="9" fillId="0" borderId="0" applyNumberFormat="0" applyFill="0" applyBorder="0" applyAlignment="0" applyProtection="0"/>
    <xf numFmtId="0" fontId="15" fillId="8" borderId="0" applyNumberFormat="0" applyBorder="0" applyProtection="0">
      <alignment horizontal="center" vertical="center"/>
    </xf>
    <xf numFmtId="171" fontId="1" fillId="0" borderId="0" applyFont="0" applyFill="0" applyBorder="0" applyAlignment="0" applyProtection="0"/>
    <xf numFmtId="166" fontId="16" fillId="0" borderId="0" applyFont="0" applyFill="0" applyBorder="0" applyAlignment="0" applyProtection="0"/>
    <xf numFmtId="0" fontId="1" fillId="0" borderId="0"/>
    <xf numFmtId="37" fontId="17" fillId="0" borderId="0"/>
    <xf numFmtId="49" fontId="18" fillId="0" borderId="0" applyFill="0" applyBorder="0" applyProtection="0">
      <alignment horizontal="left" vertical="center"/>
    </xf>
    <xf numFmtId="0" fontId="23" fillId="0" borderId="0"/>
    <xf numFmtId="172" fontId="17" fillId="0" borderId="0"/>
    <xf numFmtId="173" fontId="1" fillId="0" borderId="0" applyFont="0" applyFill="0" applyBorder="0" applyAlignment="0" applyProtection="0"/>
    <xf numFmtId="0" fontId="24" fillId="0" borderId="0"/>
    <xf numFmtId="43" fontId="1" fillId="0" borderId="0" applyFont="0" applyFill="0" applyBorder="0" applyAlignment="0" applyProtection="0"/>
    <xf numFmtId="175" fontId="1" fillId="0" borderId="0" applyFont="0" applyFill="0" applyBorder="0" applyAlignment="0" applyProtection="0"/>
    <xf numFmtId="177" fontId="1" fillId="0" borderId="0" applyFont="0" applyFill="0" applyBorder="0" applyAlignment="0" applyProtection="0"/>
    <xf numFmtId="43" fontId="16" fillId="0" borderId="0" applyFont="0" applyFill="0" applyBorder="0" applyAlignment="0" applyProtection="0"/>
    <xf numFmtId="0" fontId="16" fillId="0" borderId="0"/>
    <xf numFmtId="42" fontId="1" fillId="0" borderId="0" applyFont="0" applyFill="0" applyBorder="0" applyAlignment="0" applyProtection="0"/>
  </cellStyleXfs>
  <cellXfs count="313">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4" fillId="0" borderId="0" xfId="0" applyFont="1" applyAlignment="1">
      <alignment horizontal="center" vertical="center" wrapText="1"/>
    </xf>
    <xf numFmtId="166" fontId="4" fillId="0" borderId="0" xfId="2" applyFont="1" applyAlignment="1">
      <alignment horizontal="center" vertical="center" wrapText="1"/>
    </xf>
    <xf numFmtId="0" fontId="4" fillId="0" borderId="1" xfId="0" applyFont="1" applyBorder="1" applyAlignment="1">
      <alignment horizontal="center" vertical="center" wrapText="1"/>
    </xf>
    <xf numFmtId="166" fontId="4" fillId="0" borderId="1" xfId="2" applyFont="1" applyBorder="1" applyAlignment="1">
      <alignment horizontal="center" vertical="center" wrapText="1"/>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 xfId="0" applyFont="1" applyFill="1" applyBorder="1" applyAlignment="1">
      <alignment horizontal="center" vertical="center" wrapText="1"/>
    </xf>
    <xf numFmtId="166" fontId="10" fillId="4" borderId="1" xfId="2" applyFont="1" applyFill="1" applyBorder="1" applyAlignment="1">
      <alignment horizontal="center" vertical="center" wrapText="1"/>
    </xf>
    <xf numFmtId="166" fontId="10" fillId="4" borderId="2" xfId="2" applyFont="1" applyFill="1" applyBorder="1" applyAlignment="1">
      <alignment horizontal="center" vertical="center" wrapText="1"/>
    </xf>
    <xf numFmtId="0" fontId="11" fillId="0" borderId="0" xfId="0" applyFont="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66" fontId="5" fillId="0" borderId="1" xfId="2" applyFont="1" applyBorder="1" applyAlignment="1">
      <alignment horizontal="center" vertical="center"/>
    </xf>
    <xf numFmtId="0" fontId="5" fillId="0" borderId="1" xfId="0" applyFont="1" applyBorder="1" applyAlignment="1">
      <alignment horizontal="center" vertical="center"/>
    </xf>
    <xf numFmtId="167" fontId="5" fillId="0" borderId="1" xfId="0" applyNumberFormat="1" applyFont="1" applyBorder="1" applyAlignment="1">
      <alignment horizontal="center" vertical="center"/>
    </xf>
    <xf numFmtId="166" fontId="5" fillId="0" borderId="1" xfId="2" applyFont="1" applyFill="1" applyBorder="1" applyAlignment="1">
      <alignment horizontal="center" vertical="center"/>
    </xf>
    <xf numFmtId="166" fontId="5" fillId="0" borderId="3" xfId="2" applyFont="1" applyFill="1" applyBorder="1" applyAlignment="1">
      <alignment horizontal="center" vertical="center"/>
    </xf>
    <xf numFmtId="0" fontId="5" fillId="0" borderId="0" xfId="0" applyFont="1" applyFill="1"/>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xf>
    <xf numFmtId="166" fontId="5" fillId="6" borderId="1" xfId="2" applyFont="1" applyFill="1" applyBorder="1" applyAlignment="1">
      <alignment horizontal="center" vertical="center"/>
    </xf>
    <xf numFmtId="0" fontId="5" fillId="6" borderId="1" xfId="0" applyFont="1" applyFill="1" applyBorder="1" applyAlignment="1">
      <alignment horizontal="center" vertical="center"/>
    </xf>
    <xf numFmtId="168" fontId="5" fillId="6" borderId="1" xfId="0" applyNumberFormat="1" applyFont="1" applyFill="1" applyBorder="1" applyAlignment="1">
      <alignment horizontal="center" vertical="center"/>
    </xf>
    <xf numFmtId="16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66" fontId="11" fillId="0" borderId="1" xfId="2" applyFont="1" applyFill="1" applyBorder="1" applyAlignment="1">
      <alignment horizontal="center" vertical="center"/>
    </xf>
    <xf numFmtId="0" fontId="11" fillId="0" borderId="1" xfId="0" applyFont="1" applyFill="1" applyBorder="1" applyAlignment="1">
      <alignment horizontal="center" vertical="center"/>
    </xf>
    <xf numFmtId="169" fontId="11" fillId="0"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66" fontId="5" fillId="3" borderId="1" xfId="2" applyFont="1" applyFill="1" applyBorder="1" applyAlignment="1">
      <alignment horizontal="center" vertical="center"/>
    </xf>
    <xf numFmtId="0" fontId="5" fillId="3" borderId="1" xfId="0" applyFont="1" applyFill="1" applyBorder="1" applyAlignment="1">
      <alignment horizontal="center" vertical="center"/>
    </xf>
    <xf numFmtId="169" fontId="5" fillId="3" borderId="1"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169" fontId="5" fillId="0" borderId="1" xfId="0" applyNumberFormat="1" applyFont="1" applyBorder="1" applyAlignment="1">
      <alignment horizontal="center" vertical="center"/>
    </xf>
    <xf numFmtId="166" fontId="5" fillId="0" borderId="4" xfId="2" applyFont="1" applyFill="1" applyBorder="1" applyAlignment="1">
      <alignment horizontal="center" vertical="center"/>
    </xf>
    <xf numFmtId="0" fontId="5" fillId="0" borderId="0" xfId="0" applyFont="1"/>
    <xf numFmtId="0" fontId="5" fillId="0" borderId="0" xfId="0" applyFont="1" applyAlignment="1">
      <alignment horizontal="left" vertical="center" wrapText="1"/>
    </xf>
    <xf numFmtId="166" fontId="5" fillId="0" borderId="0" xfId="2" applyFont="1" applyAlignment="1">
      <alignment horizontal="center" vertical="center"/>
    </xf>
    <xf numFmtId="0" fontId="5" fillId="0" borderId="0" xfId="0" applyFont="1" applyAlignment="1">
      <alignment horizontal="center" vertical="center"/>
    </xf>
    <xf numFmtId="0" fontId="6" fillId="0" borderId="0" xfId="0" applyFont="1"/>
    <xf numFmtId="0" fontId="20" fillId="5" borderId="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2" fillId="0" borderId="7" xfId="0" applyFont="1" applyBorder="1" applyAlignment="1">
      <alignment horizontal="justify" vertical="center" wrapText="1"/>
    </xf>
    <xf numFmtId="0" fontId="22"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66" fontId="7" fillId="3" borderId="1"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5" fillId="0" borderId="1" xfId="5" applyFont="1" applyFill="1" applyBorder="1" applyAlignment="1">
      <alignment horizontal="center" vertical="center" wrapText="1"/>
    </xf>
    <xf numFmtId="0" fontId="25" fillId="0" borderId="1" xfId="0" applyFont="1" applyBorder="1" applyAlignment="1">
      <alignment horizontal="center" vertical="center" wrapText="1"/>
    </xf>
    <xf numFmtId="1" fontId="4" fillId="0" borderId="1" xfId="10" applyNumberFormat="1" applyFont="1" applyBorder="1" applyAlignment="1">
      <alignment horizontal="center" vertical="center" wrapText="1"/>
    </xf>
    <xf numFmtId="0" fontId="4" fillId="0" borderId="1" xfId="11" applyNumberFormat="1" applyFont="1" applyBorder="1" applyAlignment="1">
      <alignment horizontal="center" vertical="center" wrapText="1"/>
    </xf>
    <xf numFmtId="0" fontId="4" fillId="0" borderId="1" xfId="10" applyNumberFormat="1" applyFont="1" applyBorder="1" applyAlignment="1">
      <alignment horizontal="center" vertical="center" wrapText="1"/>
    </xf>
    <xf numFmtId="0" fontId="9" fillId="0" borderId="1" xfId="4" applyFont="1" applyBorder="1" applyAlignment="1">
      <alignment horizontal="center" vertical="center" wrapText="1"/>
    </xf>
    <xf numFmtId="0" fontId="4" fillId="0" borderId="1" xfId="8" applyNumberFormat="1" applyFont="1" applyBorder="1" applyAlignment="1">
      <alignment horizontal="center" vertical="center" wrapText="1"/>
    </xf>
    <xf numFmtId="37" fontId="25" fillId="0" borderId="1" xfId="9" applyNumberFormat="1" applyFont="1" applyBorder="1" applyAlignment="1">
      <alignment horizontal="center" vertical="center" wrapText="1"/>
    </xf>
    <xf numFmtId="49" fontId="4" fillId="0" borderId="1" xfId="10" applyNumberFormat="1" applyFont="1" applyBorder="1" applyAlignment="1">
      <alignment horizontal="center" vertical="center" wrapText="1"/>
    </xf>
    <xf numFmtId="0" fontId="4" fillId="0" borderId="1" xfId="10" applyNumberFormat="1" applyFont="1" applyFill="1" applyBorder="1" applyAlignment="1">
      <alignment horizontal="center" vertical="center" wrapText="1"/>
    </xf>
    <xf numFmtId="172" fontId="25" fillId="0" borderId="1" xfId="12" applyNumberFormat="1" applyFont="1" applyBorder="1" applyAlignment="1">
      <alignment horizontal="left" vertical="center" wrapText="1"/>
    </xf>
    <xf numFmtId="0" fontId="0" fillId="0" borderId="1" xfId="0" applyFont="1" applyFill="1" applyBorder="1" applyAlignment="1">
      <alignment horizontal="center" vertical="center" wrapText="1"/>
    </xf>
    <xf numFmtId="0" fontId="4" fillId="0" borderId="1" xfId="8" applyNumberFormat="1" applyFont="1" applyFill="1" applyBorder="1" applyAlignment="1">
      <alignment horizontal="center" vertical="center" wrapText="1"/>
    </xf>
    <xf numFmtId="49" fontId="4" fillId="0" borderId="1" xfId="2"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0" borderId="1" xfId="4" applyNumberFormat="1" applyFont="1" applyBorder="1" applyAlignment="1">
      <alignment horizontal="center" vertical="center" wrapText="1"/>
    </xf>
    <xf numFmtId="0" fontId="4" fillId="13" borderId="1" xfId="8" applyFont="1" applyFill="1" applyBorder="1" applyAlignment="1">
      <alignment horizontal="center" vertical="center"/>
    </xf>
    <xf numFmtId="0" fontId="25" fillId="0" borderId="1" xfId="8" applyNumberFormat="1" applyFont="1" applyBorder="1" applyAlignment="1">
      <alignment horizontal="center" vertical="center" wrapText="1"/>
    </xf>
    <xf numFmtId="170" fontId="25" fillId="0" borderId="1" xfId="13" applyNumberFormat="1" applyFont="1" applyBorder="1" applyAlignment="1">
      <alignment horizontal="center" vertical="center" wrapText="1"/>
    </xf>
    <xf numFmtId="0" fontId="0" fillId="0" borderId="1" xfId="0" applyFont="1" applyBorder="1" applyAlignment="1">
      <alignment horizontal="center" vertical="center"/>
    </xf>
    <xf numFmtId="0" fontId="25" fillId="0" borderId="1" xfId="13" applyNumberFormat="1" applyFont="1" applyBorder="1" applyAlignment="1">
      <alignment horizontal="center" vertical="center" wrapText="1"/>
    </xf>
    <xf numFmtId="0" fontId="25" fillId="0" borderId="1" xfId="11" applyNumberFormat="1" applyFont="1" applyBorder="1" applyAlignment="1">
      <alignment horizontal="center" vertical="center" wrapText="1"/>
    </xf>
    <xf numFmtId="0" fontId="4" fillId="0" borderId="1" xfId="5" applyFont="1" applyFill="1" applyBorder="1" applyAlignment="1">
      <alignment horizontal="center" vertical="center"/>
    </xf>
    <xf numFmtId="0" fontId="2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 applyFont="1" applyFill="1" applyBorder="1" applyAlignment="1">
      <alignment horizontal="center" vertical="center" wrapText="1"/>
    </xf>
    <xf numFmtId="0" fontId="26" fillId="0" borderId="1" xfId="4" applyFont="1" applyFill="1" applyBorder="1" applyAlignment="1">
      <alignment horizontal="center" vertical="center" wrapText="1"/>
    </xf>
    <xf numFmtId="0" fontId="25" fillId="0" borderId="1" xfId="8" applyNumberFormat="1" applyFont="1" applyFill="1" applyBorder="1" applyAlignment="1">
      <alignment horizontal="left" vertical="center" wrapText="1"/>
    </xf>
    <xf numFmtId="174" fontId="4" fillId="0" borderId="1" xfId="2" applyNumberFormat="1" applyFont="1" applyFill="1" applyBorder="1" applyAlignment="1">
      <alignment horizontal="center" vertical="center"/>
    </xf>
    <xf numFmtId="170" fontId="25" fillId="0" borderId="1" xfId="3" applyNumberFormat="1" applyFont="1" applyFill="1" applyBorder="1" applyAlignment="1">
      <alignment horizontal="center" vertical="center" wrapText="1"/>
    </xf>
    <xf numFmtId="49" fontId="25" fillId="0" borderId="1" xfId="8" applyNumberFormat="1" applyFont="1" applyFill="1" applyBorder="1" applyAlignment="1">
      <alignment horizontal="left" vertical="center"/>
    </xf>
    <xf numFmtId="0" fontId="25" fillId="0" borderId="1" xfId="8" applyNumberFormat="1" applyFont="1" applyFill="1" applyBorder="1" applyAlignment="1">
      <alignment horizontal="center" vertical="center" wrapText="1"/>
    </xf>
    <xf numFmtId="0" fontId="4" fillId="0" borderId="1" xfId="11" applyNumberFormat="1" applyFont="1" applyFill="1" applyBorder="1" applyAlignment="1">
      <alignment horizontal="center" vertical="center" wrapText="1"/>
    </xf>
    <xf numFmtId="49" fontId="26" fillId="0" borderId="1" xfId="4"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66" fontId="4" fillId="0" borderId="11" xfId="2" applyNumberFormat="1" applyFont="1" applyFill="1" applyBorder="1" applyAlignment="1">
      <alignment vertical="center"/>
    </xf>
    <xf numFmtId="0" fontId="25" fillId="0" borderId="1" xfId="14" applyNumberFormat="1" applyFont="1" applyFill="1" applyBorder="1" applyAlignment="1">
      <alignment horizontal="left" vertical="center"/>
    </xf>
    <xf numFmtId="0" fontId="25" fillId="0" borderId="1" xfId="14"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6" fontId="25" fillId="0" borderId="1" xfId="2" applyNumberFormat="1" applyFont="1" applyFill="1" applyBorder="1" applyAlignment="1">
      <alignment horizontal="center" vertical="center" wrapText="1"/>
    </xf>
    <xf numFmtId="0" fontId="9" fillId="0" borderId="1" xfId="4" applyFill="1" applyBorder="1" applyAlignment="1">
      <alignment horizontal="center" vertical="center" wrapText="1"/>
    </xf>
    <xf numFmtId="0" fontId="6" fillId="10" borderId="1" xfId="0" applyFont="1" applyFill="1" applyBorder="1" applyAlignment="1">
      <alignment horizontal="center" vertical="center" wrapText="1"/>
    </xf>
    <xf numFmtId="166" fontId="6" fillId="10" borderId="1" xfId="2" applyFont="1" applyFill="1" applyBorder="1" applyAlignment="1">
      <alignment horizontal="center" vertical="center" wrapText="1"/>
    </xf>
    <xf numFmtId="166" fontId="4" fillId="12" borderId="0" xfId="2" applyFont="1" applyFill="1" applyAlignment="1">
      <alignment horizontal="center" vertical="center" wrapText="1"/>
    </xf>
    <xf numFmtId="0" fontId="6" fillId="5" borderId="1" xfId="0" applyFont="1" applyFill="1" applyBorder="1" applyAlignment="1">
      <alignment horizontal="center" vertical="center" wrapText="1"/>
    </xf>
    <xf numFmtId="166" fontId="6" fillId="5" borderId="1" xfId="0" applyNumberFormat="1" applyFont="1" applyFill="1" applyBorder="1" applyAlignment="1">
      <alignment horizontal="center" vertical="center" wrapText="1"/>
    </xf>
    <xf numFmtId="166" fontId="4" fillId="0" borderId="1" xfId="0" applyNumberFormat="1" applyFont="1" applyBorder="1" applyAlignment="1">
      <alignment horizontal="center" vertical="center" wrapText="1"/>
    </xf>
    <xf numFmtId="0" fontId="4" fillId="9" borderId="0" xfId="0" applyFont="1" applyFill="1" applyAlignment="1">
      <alignment horizontal="center" vertical="center" wrapText="1"/>
    </xf>
    <xf numFmtId="166" fontId="4" fillId="9" borderId="0" xfId="2" applyFont="1" applyFill="1" applyAlignment="1">
      <alignment horizontal="center" vertical="center" wrapText="1"/>
    </xf>
    <xf numFmtId="174" fontId="25" fillId="0" borderId="1" xfId="2" applyNumberFormat="1" applyFont="1" applyFill="1" applyBorder="1" applyAlignment="1">
      <alignment horizontal="center" vertical="center"/>
    </xf>
    <xf numFmtId="0" fontId="0" fillId="0" borderId="8" xfId="0" applyBorder="1" applyAlignment="1">
      <alignment horizontal="center" vertical="center"/>
    </xf>
    <xf numFmtId="9" fontId="0" fillId="0" borderId="8" xfId="0" applyNumberFormat="1" applyBorder="1" applyAlignment="1">
      <alignment horizontal="center" vertical="center"/>
    </xf>
    <xf numFmtId="0" fontId="22" fillId="0" borderId="7" xfId="0" applyFont="1" applyFill="1" applyBorder="1" applyAlignment="1">
      <alignment horizontal="justify" vertical="center" wrapText="1"/>
    </xf>
    <xf numFmtId="10" fontId="22" fillId="0" borderId="1" xfId="0" applyNumberFormat="1" applyFont="1" applyFill="1" applyBorder="1" applyAlignment="1">
      <alignment horizontal="center" vertical="center" wrapText="1"/>
    </xf>
    <xf numFmtId="9" fontId="0" fillId="0" borderId="8" xfId="0" applyNumberFormat="1" applyFill="1" applyBorder="1" applyAlignment="1">
      <alignment horizontal="center" vertical="center"/>
    </xf>
    <xf numFmtId="0" fontId="22" fillId="0" borderId="1" xfId="0" applyFont="1" applyFill="1" applyBorder="1" applyAlignment="1">
      <alignment horizontal="center" vertical="center" wrapText="1"/>
    </xf>
    <xf numFmtId="0" fontId="0" fillId="0" borderId="8" xfId="0" applyFill="1" applyBorder="1" applyAlignment="1">
      <alignment horizontal="center" vertical="center"/>
    </xf>
    <xf numFmtId="9" fontId="22" fillId="0" borderId="1" xfId="0" applyNumberFormat="1" applyFont="1" applyFill="1" applyBorder="1" applyAlignment="1">
      <alignment horizontal="center" vertical="center" wrapText="1"/>
    </xf>
    <xf numFmtId="0" fontId="22" fillId="0" borderId="9" xfId="0" applyFont="1" applyFill="1" applyBorder="1" applyAlignment="1">
      <alignment horizontal="justify" vertical="center" wrapText="1"/>
    </xf>
    <xf numFmtId="10" fontId="22" fillId="0" borderId="4" xfId="0" applyNumberFormat="1" applyFont="1" applyFill="1" applyBorder="1" applyAlignment="1">
      <alignment horizontal="center" vertical="center" wrapText="1"/>
    </xf>
    <xf numFmtId="9" fontId="0" fillId="0" borderId="10" xfId="0" applyNumberFormat="1" applyFill="1" applyBorder="1" applyAlignment="1">
      <alignment horizontal="center" vertical="center"/>
    </xf>
    <xf numFmtId="0" fontId="20" fillId="5"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27" fillId="0" borderId="0" xfId="0" applyFont="1" applyBorder="1" applyAlignment="1">
      <alignment horizontal="center" vertical="center"/>
    </xf>
    <xf numFmtId="0" fontId="28" fillId="0" borderId="0" xfId="0" applyFont="1" applyBorder="1" applyAlignment="1">
      <alignment horizontal="justify" vertical="center" wrapText="1"/>
    </xf>
    <xf numFmtId="0" fontId="4" fillId="1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49" fontId="4" fillId="1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16" borderId="1" xfId="0" applyNumberFormat="1" applyFont="1" applyFill="1" applyBorder="1" applyAlignment="1">
      <alignment horizontal="center" vertical="center" wrapText="1"/>
    </xf>
    <xf numFmtId="49" fontId="4" fillId="18" borderId="1" xfId="0" applyNumberFormat="1" applyFont="1" applyFill="1" applyBorder="1" applyAlignment="1">
      <alignment horizontal="center" vertical="center" wrapText="1"/>
    </xf>
    <xf numFmtId="0" fontId="0" fillId="11" borderId="1" xfId="0" applyFill="1" applyBorder="1" applyAlignment="1">
      <alignment horizontal="center" vertical="center"/>
    </xf>
    <xf numFmtId="0" fontId="27" fillId="18" borderId="0" xfId="0" applyFont="1" applyFill="1" applyBorder="1" applyAlignment="1">
      <alignment horizontal="center" vertical="center"/>
    </xf>
    <xf numFmtId="0" fontId="21" fillId="18" borderId="8" xfId="0" applyFont="1" applyFill="1" applyBorder="1" applyAlignment="1">
      <alignment horizontal="center" vertical="center"/>
    </xf>
    <xf numFmtId="0" fontId="2" fillId="18" borderId="1" xfId="0" applyFont="1" applyFill="1" applyBorder="1" applyAlignment="1">
      <alignment horizontal="center"/>
    </xf>
    <xf numFmtId="0" fontId="20" fillId="5" borderId="6" xfId="0" applyFont="1" applyFill="1" applyBorder="1" applyAlignment="1">
      <alignment horizontal="center" vertical="center" wrapText="1"/>
    </xf>
    <xf numFmtId="0" fontId="4" fillId="0" borderId="1" xfId="0" applyFont="1" applyBorder="1" applyAlignment="1">
      <alignment horizontal="left" vertical="center" wrapText="1"/>
    </xf>
    <xf numFmtId="174" fontId="4" fillId="0" borderId="1" xfId="2" applyNumberFormat="1" applyFont="1" applyBorder="1" applyAlignment="1">
      <alignment horizontal="center" vertical="center" wrapText="1"/>
    </xf>
    <xf numFmtId="174" fontId="4" fillId="0" borderId="1" xfId="2" applyNumberFormat="1" applyFont="1" applyBorder="1" applyAlignment="1">
      <alignment horizontal="center" vertical="center"/>
    </xf>
    <xf numFmtId="174" fontId="4" fillId="0" borderId="1" xfId="0" applyNumberFormat="1" applyFont="1" applyBorder="1" applyAlignment="1">
      <alignment horizontal="center" vertical="center"/>
    </xf>
    <xf numFmtId="166" fontId="5" fillId="0" borderId="0" xfId="2" applyFont="1" applyFill="1"/>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166"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169" fontId="5" fillId="0" borderId="4" xfId="0" applyNumberFormat="1" applyFont="1" applyFill="1" applyBorder="1" applyAlignment="1">
      <alignment horizontal="center" vertical="center"/>
    </xf>
    <xf numFmtId="0" fontId="5" fillId="22" borderId="1" xfId="0" applyFont="1" applyFill="1" applyBorder="1" applyAlignment="1">
      <alignment horizontal="left" vertical="center" wrapText="1"/>
    </xf>
    <xf numFmtId="0" fontId="5" fillId="22" borderId="1" xfId="0" applyFont="1" applyFill="1" applyBorder="1" applyAlignment="1">
      <alignment horizontal="center" vertical="center" wrapText="1"/>
    </xf>
    <xf numFmtId="166" fontId="5" fillId="22" borderId="1" xfId="2" applyFont="1" applyFill="1" applyBorder="1" applyAlignment="1">
      <alignment horizontal="center" vertical="center"/>
    </xf>
    <xf numFmtId="0" fontId="5" fillId="22" borderId="1" xfId="0" applyFont="1" applyFill="1" applyBorder="1" applyAlignment="1">
      <alignment horizontal="center" vertical="center"/>
    </xf>
    <xf numFmtId="169" fontId="5" fillId="22" borderId="1" xfId="0" applyNumberFormat="1" applyFont="1" applyFill="1" applyBorder="1" applyAlignment="1">
      <alignment horizontal="center" vertical="center"/>
    </xf>
    <xf numFmtId="0" fontId="5" fillId="23" borderId="1" xfId="0" applyFont="1" applyFill="1" applyBorder="1" applyAlignment="1">
      <alignment horizontal="left" vertical="center" wrapText="1"/>
    </xf>
    <xf numFmtId="0" fontId="5" fillId="23" borderId="1" xfId="0" applyFont="1" applyFill="1" applyBorder="1" applyAlignment="1">
      <alignment horizontal="center" vertical="center" wrapText="1"/>
    </xf>
    <xf numFmtId="166" fontId="5" fillId="23" borderId="1" xfId="2" applyFont="1" applyFill="1" applyBorder="1" applyAlignment="1">
      <alignment horizontal="center" vertical="center"/>
    </xf>
    <xf numFmtId="0" fontId="5" fillId="23" borderId="1" xfId="0" applyFont="1" applyFill="1" applyBorder="1" applyAlignment="1">
      <alignment horizontal="center" vertical="center"/>
    </xf>
    <xf numFmtId="169" fontId="5" fillId="23" borderId="1" xfId="0" applyNumberFormat="1" applyFont="1" applyFill="1" applyBorder="1" applyAlignment="1">
      <alignment horizontal="center" vertical="center"/>
    </xf>
    <xf numFmtId="174" fontId="4" fillId="0" borderId="1" xfId="2" applyNumberFormat="1" applyFont="1" applyFill="1" applyBorder="1" applyAlignment="1">
      <alignment horizontal="center" vertical="center" wrapText="1"/>
    </xf>
    <xf numFmtId="43" fontId="4" fillId="0" borderId="1" xfId="15" applyFont="1" applyFill="1" applyBorder="1" applyAlignment="1">
      <alignment horizontal="center" vertical="center" wrapText="1"/>
    </xf>
    <xf numFmtId="0" fontId="4" fillId="24" borderId="1" xfId="0" applyFont="1" applyFill="1" applyBorder="1" applyAlignment="1">
      <alignment horizontal="center" vertical="center" wrapText="1"/>
    </xf>
    <xf numFmtId="43" fontId="4" fillId="24" borderId="1" xfId="15" applyFont="1" applyFill="1" applyBorder="1" applyAlignment="1">
      <alignment horizontal="center" vertical="center" wrapText="1"/>
    </xf>
    <xf numFmtId="174" fontId="11" fillId="13" borderId="1" xfId="16" applyNumberFormat="1" applyFont="1" applyFill="1" applyBorder="1" applyAlignment="1">
      <alignment horizontal="center" vertical="center"/>
    </xf>
    <xf numFmtId="0" fontId="11" fillId="13" borderId="1" xfId="8" applyFont="1" applyFill="1" applyBorder="1" applyAlignment="1">
      <alignment horizontal="center" vertical="center" wrapText="1"/>
    </xf>
    <xf numFmtId="0" fontId="11" fillId="13" borderId="1" xfId="8" applyFont="1" applyFill="1" applyBorder="1" applyAlignment="1">
      <alignment horizontal="center" vertical="center"/>
    </xf>
    <xf numFmtId="0" fontId="5" fillId="13" borderId="1" xfId="8" applyFont="1" applyFill="1" applyBorder="1" applyAlignment="1">
      <alignment horizontal="center" vertical="center"/>
    </xf>
    <xf numFmtId="0" fontId="25" fillId="24" borderId="1" xfId="0" applyFont="1" applyFill="1" applyBorder="1" applyAlignment="1">
      <alignment horizontal="center" vertical="center" wrapText="1"/>
    </xf>
    <xf numFmtId="43" fontId="25" fillId="24" borderId="1" xfId="15" applyFont="1" applyFill="1" applyBorder="1" applyAlignment="1">
      <alignment horizontal="center" vertical="center" wrapText="1"/>
    </xf>
    <xf numFmtId="0" fontId="30" fillId="13" borderId="1" xfId="14" applyFont="1" applyFill="1" applyBorder="1" applyAlignment="1">
      <alignment horizontal="center" vertical="center"/>
    </xf>
    <xf numFmtId="170" fontId="11" fillId="13" borderId="1" xfId="13" applyNumberFormat="1" applyFont="1" applyFill="1" applyBorder="1" applyAlignment="1" applyProtection="1">
      <alignment horizontal="center" vertical="center" wrapText="1"/>
      <protection locked="0"/>
    </xf>
    <xf numFmtId="0" fontId="5" fillId="13" borderId="1" xfId="11" applyFont="1" applyFill="1" applyBorder="1" applyAlignment="1" applyProtection="1">
      <alignment horizontal="center" vertical="center" wrapText="1"/>
      <protection locked="0"/>
    </xf>
    <xf numFmtId="49" fontId="11" fillId="13" borderId="1" xfId="8" applyNumberFormat="1" applyFont="1" applyFill="1" applyBorder="1" applyAlignment="1">
      <alignment horizontal="center" vertical="center"/>
    </xf>
    <xf numFmtId="0" fontId="11" fillId="13" borderId="1" xfId="8" applyFont="1" applyFill="1" applyBorder="1" applyAlignment="1" applyProtection="1">
      <alignment horizontal="center" vertical="center" wrapText="1"/>
      <protection locked="0"/>
    </xf>
    <xf numFmtId="0" fontId="5" fillId="13" borderId="1" xfId="8" applyFont="1" applyFill="1" applyBorder="1" applyAlignment="1">
      <alignment horizontal="center" vertical="center" wrapText="1"/>
    </xf>
    <xf numFmtId="49" fontId="5" fillId="13" borderId="1" xfId="10" applyFont="1" applyFill="1" applyBorder="1" applyAlignment="1" applyProtection="1">
      <alignment horizontal="center" vertical="center" wrapText="1"/>
      <protection locked="0"/>
    </xf>
    <xf numFmtId="0" fontId="0" fillId="13" borderId="0" xfId="0" applyFill="1"/>
    <xf numFmtId="43" fontId="5" fillId="13" borderId="1" xfId="15" applyFont="1" applyFill="1" applyBorder="1" applyAlignment="1">
      <alignment horizontal="center" vertical="center"/>
    </xf>
    <xf numFmtId="176" fontId="11" fillId="13" borderId="1" xfId="8" applyNumberFormat="1" applyFont="1" applyFill="1" applyBorder="1" applyAlignment="1">
      <alignment horizontal="center" vertical="center"/>
    </xf>
    <xf numFmtId="176" fontId="5" fillId="13" borderId="1" xfId="8" applyNumberFormat="1" applyFont="1" applyFill="1" applyBorder="1" applyAlignment="1">
      <alignment horizontal="center" vertical="center"/>
    </xf>
    <xf numFmtId="0" fontId="11" fillId="13" borderId="1" xfId="11" applyFont="1" applyFill="1" applyBorder="1" applyAlignment="1" applyProtection="1">
      <alignment horizontal="center" vertical="center" wrapText="1"/>
      <protection locked="0"/>
    </xf>
    <xf numFmtId="171" fontId="5" fillId="13" borderId="1" xfId="6" applyFont="1" applyFill="1" applyBorder="1" applyAlignment="1">
      <alignment horizontal="center" vertical="center"/>
    </xf>
    <xf numFmtId="171" fontId="5" fillId="13" borderId="1" xfId="6" applyFont="1" applyFill="1" applyBorder="1" applyAlignment="1">
      <alignment horizontal="center" vertical="center" wrapText="1"/>
    </xf>
    <xf numFmtId="0" fontId="5" fillId="13" borderId="1" xfId="11" applyFont="1" applyFill="1" applyBorder="1" applyAlignment="1">
      <alignment horizontal="center" vertical="center" wrapText="1"/>
    </xf>
    <xf numFmtId="176" fontId="5" fillId="13" borderId="1" xfId="8" applyNumberFormat="1" applyFont="1" applyFill="1" applyBorder="1" applyAlignment="1">
      <alignment horizontal="center" vertical="center" wrapText="1"/>
    </xf>
    <xf numFmtId="14" fontId="5" fillId="13" borderId="1" xfId="8" applyNumberFormat="1" applyFont="1" applyFill="1" applyBorder="1" applyAlignment="1">
      <alignment horizontal="center" vertical="center" wrapText="1"/>
    </xf>
    <xf numFmtId="176" fontId="11" fillId="13" borderId="1" xfId="6" applyNumberFormat="1" applyFont="1" applyFill="1" applyBorder="1" applyAlignment="1">
      <alignment horizontal="center" vertical="center"/>
    </xf>
    <xf numFmtId="0" fontId="11" fillId="13" borderId="1" xfId="17" applyNumberFormat="1" applyFont="1" applyFill="1" applyBorder="1" applyAlignment="1" applyProtection="1">
      <alignment horizontal="center" vertical="center" wrapText="1"/>
      <protection locked="0"/>
    </xf>
    <xf numFmtId="176" fontId="11" fillId="13" borderId="1" xfId="8" applyNumberFormat="1" applyFont="1" applyFill="1" applyBorder="1" applyAlignment="1">
      <alignment horizontal="center" vertical="center" wrapText="1"/>
    </xf>
    <xf numFmtId="49" fontId="11" fillId="13" borderId="1" xfId="10" applyFont="1" applyFill="1" applyBorder="1" applyAlignment="1" applyProtection="1">
      <alignment horizontal="center" vertical="center" wrapText="1"/>
      <protection locked="0"/>
    </xf>
    <xf numFmtId="14" fontId="5" fillId="13" borderId="1" xfId="18" applyNumberFormat="1" applyFont="1" applyFill="1" applyBorder="1" applyAlignment="1">
      <alignment horizontal="center" vertical="center"/>
    </xf>
    <xf numFmtId="0" fontId="11" fillId="13" borderId="1" xfId="10" applyNumberFormat="1" applyFont="1" applyFill="1" applyBorder="1" applyAlignment="1" applyProtection="1">
      <alignment horizontal="center" vertical="center" wrapText="1"/>
      <protection locked="0"/>
    </xf>
    <xf numFmtId="43" fontId="5" fillId="13" borderId="1" xfId="18" applyFont="1" applyFill="1" applyBorder="1" applyAlignment="1">
      <alignment horizontal="center" vertical="center"/>
    </xf>
    <xf numFmtId="49" fontId="5" fillId="13" borderId="1" xfId="8" applyNumberFormat="1" applyFont="1" applyFill="1" applyBorder="1" applyAlignment="1">
      <alignment horizontal="center" vertical="center"/>
    </xf>
    <xf numFmtId="174" fontId="5" fillId="13" borderId="1" xfId="16" applyNumberFormat="1" applyFont="1" applyFill="1" applyBorder="1" applyAlignment="1">
      <alignment horizontal="center" vertical="center"/>
    </xf>
    <xf numFmtId="174" fontId="11" fillId="13" borderId="1" xfId="16" applyNumberFormat="1" applyFont="1" applyFill="1" applyBorder="1" applyAlignment="1">
      <alignment horizontal="center" vertical="center" wrapText="1"/>
    </xf>
    <xf numFmtId="14" fontId="5" fillId="13" borderId="1" xfId="8" applyNumberFormat="1" applyFont="1" applyFill="1" applyBorder="1" applyAlignment="1">
      <alignment horizontal="center" vertical="center"/>
    </xf>
    <xf numFmtId="0" fontId="29" fillId="13" borderId="1" xfId="19" applyFont="1" applyFill="1" applyBorder="1" applyAlignment="1">
      <alignment horizontal="center" vertical="center" wrapText="1"/>
    </xf>
    <xf numFmtId="0" fontId="29" fillId="13" borderId="1" xfId="8" applyFont="1" applyFill="1" applyBorder="1" applyAlignment="1">
      <alignment horizontal="center" vertical="center" wrapText="1"/>
    </xf>
    <xf numFmtId="0" fontId="24" fillId="13" borderId="1" xfId="0" applyFont="1" applyFill="1" applyBorder="1" applyAlignment="1">
      <alignment horizontal="center"/>
    </xf>
    <xf numFmtId="43" fontId="0" fillId="0" borderId="0" xfId="0" applyNumberFormat="1"/>
    <xf numFmtId="0" fontId="24" fillId="13" borderId="1" xfId="0" applyFont="1" applyFill="1" applyBorder="1" applyAlignment="1">
      <alignment horizontal="center" vertical="center" wrapText="1"/>
    </xf>
    <xf numFmtId="0" fontId="24" fillId="13" borderId="1" xfId="0" applyFont="1" applyFill="1" applyBorder="1" applyAlignment="1">
      <alignment horizontal="center" vertical="center"/>
    </xf>
    <xf numFmtId="43" fontId="4" fillId="0" borderId="0" xfId="0" applyNumberFormat="1" applyFont="1" applyAlignment="1">
      <alignment horizontal="center" vertical="center" wrapText="1"/>
    </xf>
    <xf numFmtId="0" fontId="31" fillId="0" borderId="0" xfId="0" applyFont="1"/>
    <xf numFmtId="166" fontId="0" fillId="0" borderId="0" xfId="2" applyFont="1"/>
    <xf numFmtId="0" fontId="7" fillId="5" borderId="1" xfId="0" applyFont="1" applyFill="1" applyBorder="1" applyAlignment="1">
      <alignment horizontal="center" vertical="center"/>
    </xf>
    <xf numFmtId="0" fontId="14" fillId="7" borderId="1" xfId="0" applyFont="1" applyFill="1" applyBorder="1" applyAlignment="1">
      <alignment horizontal="center" vertical="center" wrapText="1"/>
    </xf>
    <xf numFmtId="164" fontId="14" fillId="7" borderId="1" xfId="1" applyFont="1" applyFill="1" applyBorder="1" applyAlignment="1">
      <alignment horizontal="center" vertical="center" wrapText="1"/>
    </xf>
    <xf numFmtId="0" fontId="14" fillId="9" borderId="1" xfId="5" applyFont="1" applyFill="1" applyBorder="1" applyAlignment="1" applyProtection="1">
      <alignment horizontal="center" vertical="center" wrapText="1"/>
    </xf>
    <xf numFmtId="170" fontId="14" fillId="9" borderId="1" xfId="3" applyNumberFormat="1" applyFont="1" applyFill="1" applyBorder="1" applyAlignment="1" applyProtection="1">
      <alignment horizontal="center" vertical="center" wrapText="1"/>
    </xf>
    <xf numFmtId="170" fontId="14" fillId="10" borderId="1" xfId="3" applyNumberFormat="1" applyFont="1" applyFill="1" applyBorder="1" applyAlignment="1" applyProtection="1">
      <alignment horizontal="center" vertical="center" wrapText="1"/>
    </xf>
    <xf numFmtId="170" fontId="14" fillId="5" borderId="1" xfId="3" applyNumberFormat="1" applyFont="1" applyFill="1" applyBorder="1" applyAlignment="1" applyProtection="1">
      <alignment horizontal="center" vertical="center" wrapText="1"/>
    </xf>
    <xf numFmtId="14" fontId="14" fillId="5" borderId="1" xfId="3" applyNumberFormat="1" applyFont="1" applyFill="1" applyBorder="1" applyAlignment="1" applyProtection="1">
      <alignment horizontal="center" vertical="center" wrapText="1"/>
    </xf>
    <xf numFmtId="171" fontId="14" fillId="5" borderId="1" xfId="6" applyFont="1" applyFill="1" applyBorder="1" applyAlignment="1" applyProtection="1">
      <alignment horizontal="center" vertical="center" wrapText="1"/>
    </xf>
    <xf numFmtId="0" fontId="14" fillId="5" borderId="1" xfId="8" applyFont="1" applyFill="1" applyBorder="1" applyAlignment="1">
      <alignment horizontal="center" vertical="center" wrapText="1"/>
    </xf>
    <xf numFmtId="178" fontId="4" fillId="0" borderId="1" xfId="15" applyNumberFormat="1" applyFont="1" applyFill="1" applyBorder="1" applyAlignment="1">
      <alignment horizontal="center" vertical="center" wrapText="1"/>
    </xf>
    <xf numFmtId="43" fontId="0" fillId="0" borderId="0" xfId="15" applyFont="1"/>
    <xf numFmtId="0" fontId="25" fillId="13"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43" fontId="4" fillId="13" borderId="1" xfId="15" applyFont="1" applyFill="1" applyBorder="1" applyAlignment="1">
      <alignment horizontal="center" vertical="center" wrapText="1"/>
    </xf>
    <xf numFmtId="43" fontId="25" fillId="0" borderId="1" xfId="15" applyFont="1" applyFill="1" applyBorder="1" applyAlignment="1">
      <alignment horizontal="center" vertical="center" wrapText="1"/>
    </xf>
    <xf numFmtId="42" fontId="4" fillId="0" borderId="1" xfId="20" applyFont="1" applyFill="1" applyBorder="1" applyAlignment="1">
      <alignment horizontal="center" vertical="center" wrapText="1"/>
    </xf>
    <xf numFmtId="42" fontId="25" fillId="0" borderId="1" xfId="20" applyFont="1" applyFill="1" applyBorder="1" applyAlignment="1">
      <alignment horizontal="center" vertical="center" wrapText="1"/>
    </xf>
    <xf numFmtId="166" fontId="4" fillId="0" borderId="1" xfId="2" applyFont="1" applyFill="1" applyBorder="1" applyAlignment="1">
      <alignment horizontal="center" vertical="center" wrapText="1"/>
    </xf>
    <xf numFmtId="0" fontId="9" fillId="0" borderId="1" xfId="4" applyBorder="1" applyAlignment="1">
      <alignment horizontal="center" vertical="center" wrapText="1"/>
    </xf>
    <xf numFmtId="0" fontId="0" fillId="0" borderId="0" xfId="0" applyAlignment="1">
      <alignment vertical="center"/>
    </xf>
    <xf numFmtId="43" fontId="0" fillId="0" borderId="0" xfId="0" applyNumberFormat="1" applyAlignment="1">
      <alignment vertical="center"/>
    </xf>
    <xf numFmtId="0" fontId="4" fillId="26" borderId="1" xfId="0" applyFont="1" applyFill="1" applyBorder="1" applyAlignment="1">
      <alignment horizontal="center" vertical="center" wrapText="1"/>
    </xf>
    <xf numFmtId="0" fontId="4" fillId="26" borderId="0" xfId="0" applyFont="1" applyFill="1" applyAlignment="1">
      <alignment horizontal="center" vertical="center" wrapText="1"/>
    </xf>
    <xf numFmtId="0" fontId="22" fillId="0" borderId="1" xfId="8" applyNumberFormat="1" applyFont="1" applyFill="1" applyBorder="1" applyAlignment="1">
      <alignment horizontal="left" vertical="center" wrapText="1"/>
    </xf>
    <xf numFmtId="0" fontId="22" fillId="14" borderId="1" xfId="0" applyFont="1" applyFill="1" applyBorder="1" applyAlignment="1">
      <alignment horizontal="center" vertical="center" wrapText="1"/>
    </xf>
    <xf numFmtId="0" fontId="22" fillId="0" borderId="1" xfId="0" applyFont="1" applyFill="1" applyBorder="1" applyAlignment="1">
      <alignment horizontal="center" vertical="center"/>
    </xf>
    <xf numFmtId="165" fontId="4" fillId="0" borderId="0" xfId="0" applyNumberFormat="1" applyFont="1" applyFill="1" applyAlignment="1">
      <alignment horizontal="center" vertical="center" wrapText="1"/>
    </xf>
    <xf numFmtId="0" fontId="4" fillId="27" borderId="1" xfId="0" applyFont="1" applyFill="1" applyBorder="1" applyAlignment="1">
      <alignment horizontal="center" vertical="center" wrapText="1"/>
    </xf>
    <xf numFmtId="0" fontId="4" fillId="24" borderId="1" xfId="0" applyNumberFormat="1" applyFont="1" applyFill="1" applyBorder="1" applyAlignment="1">
      <alignment horizontal="center" vertical="center" wrapText="1"/>
    </xf>
    <xf numFmtId="170" fontId="25" fillId="0" borderId="1" xfId="13" applyNumberFormat="1" applyFont="1" applyFill="1" applyBorder="1" applyAlignment="1">
      <alignment horizontal="center" vertical="center" wrapText="1"/>
    </xf>
    <xf numFmtId="170" fontId="25" fillId="0" borderId="4" xfId="13" applyNumberFormat="1" applyFont="1" applyFill="1" applyBorder="1" applyAlignment="1">
      <alignment horizontal="center" vertical="center" wrapText="1"/>
    </xf>
    <xf numFmtId="0" fontId="25" fillId="28" borderId="1" xfId="0" applyFont="1" applyFill="1" applyBorder="1" applyAlignment="1">
      <alignment horizontal="center" vertical="center" wrapText="1"/>
    </xf>
    <xf numFmtId="43" fontId="4" fillId="0" borderId="0" xfId="0" applyNumberFormat="1" applyFont="1" applyFill="1" applyAlignment="1">
      <alignment horizontal="center" vertical="center" wrapText="1"/>
    </xf>
    <xf numFmtId="172" fontId="25" fillId="0" borderId="1" xfId="12" applyNumberFormat="1" applyFont="1" applyFill="1" applyBorder="1" applyAlignment="1">
      <alignment horizontal="left" vertical="center" wrapText="1"/>
    </xf>
    <xf numFmtId="165" fontId="25" fillId="0" borderId="1" xfId="15" applyNumberFormat="1" applyFont="1" applyFill="1" applyBorder="1" applyAlignment="1">
      <alignment horizontal="center" vertical="center" wrapText="1"/>
    </xf>
    <xf numFmtId="0" fontId="4" fillId="24" borderId="1" xfId="15" applyNumberFormat="1" applyFont="1" applyFill="1" applyBorder="1" applyAlignment="1">
      <alignment horizontal="center" vertical="center" wrapText="1"/>
    </xf>
    <xf numFmtId="0" fontId="4" fillId="0" borderId="1" xfId="0" applyFont="1" applyFill="1" applyBorder="1" applyAlignment="1">
      <alignment vertical="center" wrapText="1"/>
    </xf>
    <xf numFmtId="169" fontId="4" fillId="0" borderId="1" xfId="0" applyNumberFormat="1" applyFont="1" applyFill="1" applyBorder="1" applyAlignment="1">
      <alignment vertical="center"/>
    </xf>
    <xf numFmtId="42" fontId="4" fillId="0" borderId="1" xfId="20" applyFont="1" applyBorder="1" applyAlignment="1">
      <alignment horizontal="center" vertical="center" wrapText="1"/>
    </xf>
    <xf numFmtId="0" fontId="4" fillId="29" borderId="1" xfId="0" applyFont="1" applyFill="1" applyBorder="1" applyAlignment="1">
      <alignment horizontal="center" vertical="center" wrapText="1"/>
    </xf>
    <xf numFmtId="14" fontId="4" fillId="29" borderId="1" xfId="0" applyNumberFormat="1" applyFont="1" applyFill="1" applyBorder="1" applyAlignment="1">
      <alignment horizontal="center" vertical="center" wrapText="1"/>
    </xf>
    <xf numFmtId="43" fontId="4" fillId="29" borderId="1" xfId="15" applyFont="1" applyFill="1" applyBorder="1" applyAlignment="1">
      <alignment horizontal="center" vertical="center" wrapText="1"/>
    </xf>
    <xf numFmtId="14" fontId="4" fillId="29" borderId="1" xfId="15" applyNumberFormat="1" applyFont="1" applyFill="1" applyBorder="1" applyAlignment="1">
      <alignment horizontal="center" vertical="center" wrapText="1"/>
    </xf>
    <xf numFmtId="165" fontId="4" fillId="29" borderId="1" xfId="0" applyNumberFormat="1" applyFont="1" applyFill="1" applyBorder="1" applyAlignment="1">
      <alignment horizontal="center" vertical="center" wrapText="1"/>
    </xf>
    <xf numFmtId="0" fontId="4" fillId="29" borderId="1" xfId="15" applyNumberFormat="1" applyFont="1" applyFill="1" applyBorder="1" applyAlignment="1">
      <alignment horizontal="center" vertical="center" wrapText="1"/>
    </xf>
    <xf numFmtId="43" fontId="25" fillId="29" borderId="1" xfId="15" applyFont="1" applyFill="1" applyBorder="1" applyAlignment="1" applyProtection="1">
      <alignment horizontal="center" vertical="center"/>
      <protection hidden="1"/>
    </xf>
    <xf numFmtId="0" fontId="25" fillId="0" borderId="1" xfId="11" applyNumberFormat="1" applyFont="1" applyFill="1" applyBorder="1" applyAlignment="1">
      <alignment horizontal="center" vertical="center" wrapText="1"/>
    </xf>
    <xf numFmtId="174" fontId="4" fillId="0" borderId="4" xfId="2" applyNumberFormat="1" applyFont="1" applyFill="1" applyBorder="1" applyAlignment="1">
      <alignment horizontal="center" vertical="center"/>
    </xf>
    <xf numFmtId="0" fontId="25" fillId="9"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74" fontId="25" fillId="0" borderId="1" xfId="2" applyNumberFormat="1" applyFont="1" applyBorder="1" applyAlignment="1">
      <alignment horizontal="center" vertical="center" wrapText="1"/>
    </xf>
    <xf numFmtId="166" fontId="25" fillId="0" borderId="1" xfId="2" applyFont="1" applyBorder="1" applyAlignment="1">
      <alignment horizontal="center" vertical="center" wrapText="1"/>
    </xf>
    <xf numFmtId="0" fontId="25" fillId="29" borderId="1" xfId="0" applyFont="1" applyFill="1" applyBorder="1" applyAlignment="1">
      <alignment horizontal="center" vertical="center" wrapText="1"/>
    </xf>
    <xf numFmtId="14" fontId="25" fillId="29" borderId="1" xfId="0" applyNumberFormat="1" applyFont="1" applyFill="1" applyBorder="1" applyAlignment="1">
      <alignment horizontal="center" vertical="center" wrapText="1"/>
    </xf>
    <xf numFmtId="43" fontId="25" fillId="29" borderId="1" xfId="15" applyFont="1" applyFill="1" applyBorder="1" applyAlignment="1">
      <alignment horizontal="center" vertical="center" wrapText="1"/>
    </xf>
    <xf numFmtId="43" fontId="25" fillId="25" borderId="1" xfId="15" applyFont="1" applyFill="1" applyBorder="1" applyAlignment="1">
      <alignment horizontal="center" vertical="center" wrapText="1"/>
    </xf>
    <xf numFmtId="0" fontId="25" fillId="0" borderId="0" xfId="0" applyFont="1" applyAlignment="1">
      <alignment horizontal="center" vertical="center" wrapText="1"/>
    </xf>
    <xf numFmtId="0" fontId="4" fillId="29"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9" fillId="0" borderId="1" xfId="4" applyFont="1" applyFill="1" applyBorder="1" applyAlignment="1">
      <alignment horizontal="center" vertical="center" wrapText="1"/>
    </xf>
    <xf numFmtId="168" fontId="4" fillId="0" borderId="1" xfId="0" applyNumberFormat="1" applyFont="1" applyBorder="1" applyAlignment="1">
      <alignment vertical="center"/>
    </xf>
    <xf numFmtId="168" fontId="4" fillId="0" borderId="1" xfId="0" applyNumberFormat="1" applyFont="1" applyFill="1" applyBorder="1" applyAlignment="1">
      <alignment vertical="center"/>
    </xf>
    <xf numFmtId="14" fontId="4" fillId="13" borderId="1" xfId="0" applyNumberFormat="1" applyFont="1" applyFill="1" applyBorder="1" applyAlignment="1">
      <alignment horizontal="center" vertical="center" wrapText="1"/>
    </xf>
    <xf numFmtId="0" fontId="4" fillId="13" borderId="0" xfId="0" applyFont="1" applyFill="1" applyAlignment="1">
      <alignment horizontal="center" vertical="center" wrapText="1"/>
    </xf>
    <xf numFmtId="0" fontId="34" fillId="0" borderId="1" xfId="4" applyFont="1" applyBorder="1" applyAlignment="1">
      <alignment horizontal="center" vertical="center" wrapText="1"/>
    </xf>
    <xf numFmtId="42" fontId="25" fillId="0" borderId="0" xfId="20" applyFont="1" applyAlignment="1">
      <alignment horizontal="center" vertical="center" wrapText="1"/>
    </xf>
    <xf numFmtId="42" fontId="14" fillId="4" borderId="1" xfId="20" applyFont="1" applyFill="1" applyBorder="1" applyAlignment="1">
      <alignment horizontal="center" vertical="center" wrapText="1"/>
    </xf>
    <xf numFmtId="174" fontId="4" fillId="0" borderId="0" xfId="2" applyNumberFormat="1" applyFont="1" applyFill="1" applyBorder="1" applyAlignment="1">
      <alignment horizontal="center" vertical="center"/>
    </xf>
    <xf numFmtId="180" fontId="4" fillId="0" borderId="1" xfId="20" applyNumberFormat="1" applyFont="1" applyFill="1" applyBorder="1" applyAlignment="1">
      <alignment horizontal="center" vertical="center" wrapText="1"/>
    </xf>
    <xf numFmtId="164" fontId="4" fillId="29" borderId="1" xfId="1" applyFont="1" applyFill="1" applyBorder="1" applyAlignment="1">
      <alignment horizontal="center" vertical="center" wrapText="1"/>
    </xf>
    <xf numFmtId="164" fontId="4" fillId="0" borderId="0" xfId="1" applyFont="1" applyAlignment="1">
      <alignment horizontal="center" vertical="center" wrapText="1"/>
    </xf>
    <xf numFmtId="179" fontId="4" fillId="0" borderId="0" xfId="1" applyNumberFormat="1" applyFont="1" applyAlignment="1">
      <alignment horizontal="center" vertical="center" wrapText="1"/>
    </xf>
    <xf numFmtId="164" fontId="6" fillId="0" borderId="0" xfId="1" applyFont="1" applyAlignment="1">
      <alignment horizontal="center" vertical="center" wrapText="1"/>
    </xf>
    <xf numFmtId="43" fontId="32" fillId="29" borderId="1" xfId="15" applyFont="1" applyFill="1" applyBorder="1" applyAlignment="1">
      <alignment horizontal="center" vertical="center" wrapText="1"/>
    </xf>
    <xf numFmtId="1" fontId="4" fillId="29" borderId="1" xfId="0" applyNumberFormat="1" applyFont="1" applyFill="1" applyBorder="1" applyAlignment="1">
      <alignment horizontal="center" vertical="center" wrapText="1"/>
    </xf>
    <xf numFmtId="164" fontId="0" fillId="0" borderId="0" xfId="1" applyFont="1"/>
    <xf numFmtId="14" fontId="29" fillId="29" borderId="1" xfId="0" applyNumberFormat="1" applyFont="1" applyFill="1" applyBorder="1" applyAlignment="1">
      <alignment horizontal="center" vertical="center"/>
    </xf>
    <xf numFmtId="166" fontId="4" fillId="10" borderId="1" xfId="2" applyFont="1" applyFill="1" applyBorder="1" applyAlignment="1">
      <alignment horizontal="center" vertical="center" wrapText="1"/>
    </xf>
    <xf numFmtId="42" fontId="4" fillId="10" borderId="1" xfId="20" applyFont="1" applyFill="1" applyBorder="1" applyAlignment="1">
      <alignment horizontal="center" vertical="center" wrapText="1"/>
    </xf>
    <xf numFmtId="166" fontId="4" fillId="30" borderId="1" xfId="2" applyFont="1" applyFill="1" applyBorder="1" applyAlignment="1">
      <alignment horizontal="center" vertical="center" wrapText="1"/>
    </xf>
    <xf numFmtId="42" fontId="25" fillId="10" borderId="1" xfId="20" applyFont="1" applyFill="1" applyBorder="1" applyAlignment="1">
      <alignment horizontal="center" vertical="center" wrapText="1"/>
    </xf>
    <xf numFmtId="180" fontId="25" fillId="0" borderId="1" xfId="20" applyNumberFormat="1" applyFont="1" applyFill="1" applyBorder="1" applyAlignment="1">
      <alignment horizontal="center" vertical="center" wrapText="1"/>
    </xf>
    <xf numFmtId="43" fontId="25" fillId="13" borderId="1" xfId="15" applyFont="1" applyFill="1" applyBorder="1" applyAlignment="1">
      <alignment horizontal="center" vertical="center" wrapText="1"/>
    </xf>
    <xf numFmtId="42" fontId="4" fillId="22" borderId="1" xfId="20" applyFont="1" applyFill="1" applyBorder="1" applyAlignment="1">
      <alignment horizontal="center" vertical="center" wrapText="1"/>
    </xf>
    <xf numFmtId="42" fontId="25" fillId="22" borderId="1" xfId="20" applyFont="1" applyFill="1" applyBorder="1" applyAlignment="1">
      <alignment horizontal="center" vertical="center" wrapText="1"/>
    </xf>
    <xf numFmtId="179" fontId="7" fillId="0" borderId="1" xfId="1" applyNumberFormat="1" applyFont="1" applyBorder="1" applyAlignment="1">
      <alignment horizontal="center" vertical="center" wrapText="1"/>
    </xf>
    <xf numFmtId="179" fontId="4" fillId="13" borderId="1" xfId="1" applyNumberFormat="1" applyFont="1" applyFill="1" applyBorder="1" applyAlignment="1">
      <alignment horizontal="center" vertical="center" wrapText="1"/>
    </xf>
    <xf numFmtId="17" fontId="4" fillId="29" borderId="1" xfId="0" applyNumberFormat="1" applyFont="1" applyFill="1" applyBorder="1" applyAlignment="1">
      <alignment horizontal="center" vertical="center" wrapText="1"/>
    </xf>
    <xf numFmtId="43" fontId="25" fillId="25" borderId="0" xfId="15" applyFont="1" applyFill="1" applyAlignment="1">
      <alignment horizontal="center" vertical="center" wrapText="1"/>
    </xf>
    <xf numFmtId="179" fontId="25" fillId="25" borderId="1" xfId="1"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0" fillId="0" borderId="0" xfId="0" applyFont="1" applyAlignment="1">
      <alignment horizontal="center" vertical="center" wrapText="1"/>
    </xf>
    <xf numFmtId="0" fontId="35" fillId="0" borderId="12" xfId="0" applyFont="1" applyBorder="1" applyAlignment="1">
      <alignment horizontal="center" vertical="center" wrapText="1"/>
    </xf>
  </cellXfs>
  <cellStyles count="21">
    <cellStyle name="BodyStyle" xfId="10" xr:uid="{00000000-0005-0000-0000-000000000000}"/>
    <cellStyle name="Énfasis1" xfId="3" builtinId="29"/>
    <cellStyle name="HeaderStyle" xfId="5" xr:uid="{00000000-0005-0000-0000-000002000000}"/>
    <cellStyle name="Hipervínculo" xfId="4" builtinId="8"/>
    <cellStyle name="Millares" xfId="15" builtinId="3"/>
    <cellStyle name="Millares [0]" xfId="1" builtinId="6"/>
    <cellStyle name="Millares [0] 4" xfId="6" xr:uid="{00000000-0005-0000-0000-000006000000}"/>
    <cellStyle name="Millares 2" xfId="18" xr:uid="{00000000-0005-0000-0000-000007000000}"/>
    <cellStyle name="Millares 2 4" xfId="17" xr:uid="{00000000-0005-0000-0000-000008000000}"/>
    <cellStyle name="Millares 3" xfId="13" xr:uid="{00000000-0005-0000-0000-000009000000}"/>
    <cellStyle name="Moneda" xfId="2" builtinId="4"/>
    <cellStyle name="Moneda [0]" xfId="20" builtinId="7"/>
    <cellStyle name="Moneda 2" xfId="7" xr:uid="{00000000-0005-0000-0000-00000C000000}"/>
    <cellStyle name="Moneda 2 2" xfId="16" xr:uid="{00000000-0005-0000-0000-00000D000000}"/>
    <cellStyle name="Normal" xfId="0" builtinId="0"/>
    <cellStyle name="Normal 2" xfId="19" xr:uid="{00000000-0005-0000-0000-00000F000000}"/>
    <cellStyle name="Normal 2 2" xfId="11" xr:uid="{00000000-0005-0000-0000-000010000000}"/>
    <cellStyle name="Normal 2 2 2 2 2" xfId="8" xr:uid="{00000000-0005-0000-0000-000011000000}"/>
    <cellStyle name="Normal 3" xfId="9" xr:uid="{00000000-0005-0000-0000-000012000000}"/>
    <cellStyle name="Normal 3 3" xfId="12" xr:uid="{00000000-0005-0000-0000-000013000000}"/>
    <cellStyle name="Normal 7" xfId="14" xr:uid="{00000000-0005-0000-0000-000014000000}"/>
  </cellStyles>
  <dxfs count="87">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9" formatCode="&quot;$&quot;\ #,##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numFmt numFmtId="169" formatCode="&quot;$&quot;\ #,##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right style="thin">
          <color auto="1"/>
        </right>
        <bottom style="thin">
          <color auto="1"/>
        </bottom>
      </border>
    </dxf>
    <dxf>
      <font>
        <strike val="0"/>
        <outline val="0"/>
        <shadow val="0"/>
        <u val="none"/>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s>
  <tableStyles count="0" defaultTableStyle="TableStyleMedium2" defaultPivotStyle="PivotStyleLight16"/>
  <colors>
    <mruColors>
      <color rgb="FFFFFF99"/>
      <color rgb="FFCCFFFF"/>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ARTHA/PLANEACION%202021/FINALES/PLAN%20DE%20ADQUISICIONES%20PROYECTO%20MEJORA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PLANEACION%202021/Formatos%20planea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ES FUNCIONAMIENTO"/>
      <sheetName val="PAA y adquisiciones Inversión"/>
      <sheetName val="Reservas presupuestales"/>
      <sheetName val="COMISIONES"/>
      <sheetName val="EVENTOS"/>
      <sheetName val="Metas cuatrenio"/>
      <sheetName val="Valor Viaticos"/>
      <sheetName val="CÓDIGOS UNSPSC"/>
      <sheetName val="Listas"/>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ow r="1">
          <cell r="A1" t="str">
            <v>Brindar asistencia técnica en educación a las entidades territoriales certificadas para  el mejoramiento de los procesos de atención de las personas con discapacidad visual</v>
          </cell>
          <cell r="B1" t="str">
            <v>MC-01</v>
          </cell>
          <cell r="C1" t="str">
            <v>PROYECTO MEJORAMIENTO DE LAS CONDICIONES PARA LA GARANTÍA DE LOS DERECHOS DE LAS PERSONAS CON DISCAPACIDAD VISUAL EN EL PAÍS</v>
          </cell>
          <cell r="D1" t="str">
            <v>Contratación directa</v>
          </cell>
          <cell r="F1" t="str">
            <v>CONTRATO PRESTACIÓN SERVICIOS (Técnico)</v>
          </cell>
          <cell r="K1" t="str">
            <v>Direccionamiento Estratégico</v>
          </cell>
          <cell r="M1" t="str">
            <v>Direccionamiento Estratégico</v>
          </cell>
        </row>
        <row r="2">
          <cell r="A2" t="str">
            <v>Dotar instituciones que atiendan personas con discapacidad visual con libros y textos en braille y material en relieve y macrotipo</v>
          </cell>
          <cell r="B2" t="str">
            <v>MC-02</v>
          </cell>
          <cell r="C2" t="str">
            <v>PROYECTO FORTALECIMIENTO DE PROCESOS Y RECURSOS DEL INCI PARA CONTRIBUIR CON EL MEJORAMIENTO DE SERVICIOS A LAS PERSONAS CON DISCAPACIDAD VISUAL</v>
          </cell>
          <cell r="D2" t="str">
            <v>Minima Cuantía</v>
          </cell>
          <cell r="F2" t="str">
            <v>CONTRATO  PRESTACIÓN SERVICIOS PROFESIONALES</v>
          </cell>
          <cell r="K2" t="str">
            <v xml:space="preserve"> Comunicaciones</v>
          </cell>
          <cell r="M2" t="str">
            <v xml:space="preserve"> Comunicaciones</v>
          </cell>
        </row>
        <row r="3">
          <cell r="A3" t="str">
            <v>Brindar asesoría a entidades públicas y privadas que generen condiciones de accesibilidad al espacio físico, a la información y al uso de tecnología especializada para las personas con discapacidad visual</v>
          </cell>
          <cell r="B3" t="str">
            <v>MC-03</v>
          </cell>
          <cell r="D3" t="str">
            <v>Menor Cuantía</v>
          </cell>
          <cell r="F3" t="str">
            <v>TIQUETE TERRESTRE</v>
          </cell>
          <cell r="K3" t="str">
            <v xml:space="preserve">Asistencia Técnica
</v>
          </cell>
          <cell r="M3" t="str">
            <v>Grupo Accesibilidad</v>
          </cell>
        </row>
        <row r="4">
          <cell r="A4" t="str">
            <v>Asesorar a las instancias competentes para promover la empleabilidad de las personas con discapacidad visual</v>
          </cell>
          <cell r="B4" t="str">
            <v>FP-01</v>
          </cell>
          <cell r="D4" t="str">
            <v>No es contrato</v>
          </cell>
          <cell r="F4" t="str">
            <v>TIQUETE AÉREO</v>
          </cell>
          <cell r="K4" t="str">
            <v xml:space="preserve">Centro Cultural
</v>
          </cell>
          <cell r="M4" t="str">
            <v xml:space="preserve"> Grupo Gestión Interinstitucional</v>
          </cell>
        </row>
        <row r="5">
          <cell r="A5" t="str">
            <v>Gestionar documentos de propuestas normativas para hacer efectivos los derechos de las personas con discapacidad visual</v>
          </cell>
          <cell r="B5" t="str">
            <v>FP-02</v>
          </cell>
          <cell r="F5" t="str">
            <v>VIÁTICOS</v>
          </cell>
          <cell r="K5" t="str">
            <v xml:space="preserve">Unidades Productivas
</v>
          </cell>
          <cell r="M5" t="str">
            <v xml:space="preserve">Grupo Educación
</v>
          </cell>
        </row>
        <row r="6">
          <cell r="A6" t="str">
            <v>Desarrollar ejercicios de investigación para mejorar las condiciones de inclusión de las personas con discapacidad visual</v>
          </cell>
          <cell r="B6" t="str">
            <v>FP-03</v>
          </cell>
          <cell r="F6" t="str">
            <v>SERVICIO</v>
          </cell>
          <cell r="K6" t="str">
            <v>Producción radial y audiovisual</v>
          </cell>
          <cell r="M6" t="str">
            <v xml:space="preserve">Centro Cultural
</v>
          </cell>
        </row>
        <row r="7">
          <cell r="A7" t="str">
            <v>Promover y asesorar a organizaciones sociales, familia y  otros colectivos de personas con discapacidad visual, para  la participación y el ejercicio de sus derechos</v>
          </cell>
          <cell r="B7" t="str">
            <v>FP-04</v>
          </cell>
          <cell r="F7" t="str">
            <v>SUMINISTRO</v>
          </cell>
          <cell r="K7" t="str">
            <v xml:space="preserve">Informática y Tecnología
</v>
          </cell>
          <cell r="M7" t="str">
            <v xml:space="preserve">Unidades Productivas
</v>
          </cell>
        </row>
        <row r="8">
          <cell r="A8" t="str">
            <v>Desarrollar talleres especializados en temas relacionados con la discapacidad visual</v>
          </cell>
          <cell r="B8" t="str">
            <v>FP-05</v>
          </cell>
          <cell r="K8" t="str">
            <v xml:space="preserve">Gestión documental
</v>
          </cell>
          <cell r="M8" t="str">
            <v>Producción radial y audiovisual</v>
          </cell>
        </row>
        <row r="9">
          <cell r="A9" t="str">
            <v>Producir y publicar en formatos accesibles documentos para personas con discapacidad visual</v>
          </cell>
          <cell r="B9" t="str">
            <v>GG001</v>
          </cell>
          <cell r="K9" t="str">
            <v xml:space="preserve">Gestión Contractual
</v>
          </cell>
          <cell r="M9" t="str">
            <v xml:space="preserve">Informática y Tecnología
</v>
          </cell>
        </row>
        <row r="10">
          <cell r="A10" t="str">
            <v>Realizar exposiciones para personas con discapacidad visual y público en general en la sala multisensorial</v>
          </cell>
          <cell r="B10" t="str">
            <v>GG002</v>
          </cell>
          <cell r="K10" t="str">
            <v xml:space="preserve">Gestión Jurídica
</v>
          </cell>
          <cell r="M10" t="str">
            <v xml:space="preserve">Gestión documental
</v>
          </cell>
        </row>
        <row r="11">
          <cell r="A11" t="str">
            <v>Desarrollar campañas de comunicación relacionadas con la temática de discapacidad visual y el quehacer institucional</v>
          </cell>
          <cell r="B11" t="str">
            <v>GG003</v>
          </cell>
          <cell r="K11" t="str">
            <v xml:space="preserve">Servicio al ciudadano
</v>
          </cell>
          <cell r="M11" t="str">
            <v xml:space="preserve">Gestión Contractual
</v>
          </cell>
        </row>
        <row r="12">
          <cell r="A12" t="str">
            <v>Producir y adaptar material audiovisual para promover la inclusión de las personas con discapacidad visual</v>
          </cell>
          <cell r="B12" t="str">
            <v>GG004</v>
          </cell>
          <cell r="K12" t="str">
            <v>Gestión Humana</v>
          </cell>
          <cell r="M12" t="str">
            <v xml:space="preserve">Gestión Jurídica
</v>
          </cell>
        </row>
        <row r="13">
          <cell r="A13" t="str">
            <v>Producir y emitir contenidos radiales para promover la inclusión de las personas con discapacidad visual</v>
          </cell>
          <cell r="B13" t="str">
            <v>GG005</v>
          </cell>
          <cell r="K13" t="str">
            <v xml:space="preserve">Evaluación y Mejoramiento
</v>
          </cell>
          <cell r="M13" t="str">
            <v xml:space="preserve">Servicio al ciudadano
</v>
          </cell>
        </row>
        <row r="14">
          <cell r="A14" t="str">
            <v>Disponer de material, productos y ayudas para la adquisición por parte de las  personas con discapacidad visual</v>
          </cell>
          <cell r="B14" t="str">
            <v>GG006</v>
          </cell>
          <cell r="K14" t="str">
            <v xml:space="preserve">Financiero
</v>
          </cell>
          <cell r="M14" t="str">
            <v>Gestión Humana</v>
          </cell>
        </row>
        <row r="15">
          <cell r="A15" t="str">
            <v>Transcribir e imprimir libros, textos y material para las personas con discapacidad visual</v>
          </cell>
          <cell r="B15" t="str">
            <v>GG007</v>
          </cell>
          <cell r="K15" t="str">
            <v>Administrativo</v>
          </cell>
          <cell r="M15" t="str">
            <v xml:space="preserve">Evaluación y Mejoramiento
</v>
          </cell>
        </row>
        <row r="16">
          <cell r="B16" t="str">
            <v>GG008</v>
          </cell>
          <cell r="M16" t="str">
            <v xml:space="preserve">Financiero
</v>
          </cell>
        </row>
        <row r="17">
          <cell r="B17" t="str">
            <v>GG009</v>
          </cell>
          <cell r="M17" t="str">
            <v>Administrativo</v>
          </cell>
        </row>
        <row r="18">
          <cell r="B18" t="str">
            <v>GG010</v>
          </cell>
        </row>
        <row r="19">
          <cell r="B19" t="str">
            <v>TR01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gregación"/>
      <sheetName val=" DESAGREGACIÓN FUNCIONAMIEN (2"/>
      <sheetName val="PADQ FUNCIONAMIENTO (2)"/>
      <sheetName val="PAA Y ADQ INVERSIÓN"/>
      <sheetName val="Hoja1"/>
      <sheetName val="Metas"/>
      <sheetName val="COMISIONES"/>
      <sheetName val="MUEBLES"/>
      <sheetName val=" $ DISPONIBLE"/>
      <sheetName val="Código UNSPSC"/>
      <sheetName val="lista"/>
      <sheetName val="Nom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6" displayName="Tabla6" ref="J2:O11" totalsRowShown="0" headerRowDxfId="32" headerRowBorderDxfId="31" tableBorderDxfId="30" totalsRowBorderDxfId="29">
  <autoFilter ref="J2:O11" xr:uid="{00000000-0009-0000-0100-000003000000}"/>
  <tableColumns count="6">
    <tableColumn id="1" xr3:uid="{00000000-0010-0000-0000-000001000000}" name="METAS" dataDxfId="28"/>
    <tableColumn id="2" xr3:uid="{00000000-0010-0000-0000-000002000000}" name="2019" dataDxfId="27"/>
    <tableColumn id="3" xr3:uid="{00000000-0010-0000-0000-000003000000}" name="2020" dataDxfId="26"/>
    <tableColumn id="4" xr3:uid="{00000000-0010-0000-0000-000004000000}" name="2021" dataDxfId="25"/>
    <tableColumn id="5" xr3:uid="{00000000-0010-0000-0000-000005000000}" name="2022" dataDxfId="24"/>
    <tableColumn id="6" xr3:uid="{00000000-0010-0000-0000-000006000000}" name="TOTAL CUATRENIO " dataDxfId="2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2" displayName="Tabla2" ref="A1:J104" totalsRowCount="1" headerRowDxfId="22" dataDxfId="21" tableBorderDxfId="20" headerRowCellStyle="Moneda">
  <autoFilter ref="A1:J103" xr:uid="{00000000-0009-0000-0100-000001000000}"/>
  <tableColumns count="10">
    <tableColumn id="1" xr3:uid="{00000000-0010-0000-0100-000001000000}" name="Meta" dataDxfId="19" totalsRowDxfId="18"/>
    <tableColumn id="2" xr3:uid="{00000000-0010-0000-0100-000002000000}" name="Departamento" dataDxfId="17" totalsRowDxfId="16"/>
    <tableColumn id="3" xr3:uid="{00000000-0010-0000-0100-000003000000}" name="Municipio" dataDxfId="15" totalsRowDxfId="14"/>
    <tableColumn id="4" xr3:uid="{00000000-0010-0000-0100-000004000000}" name="Nombre Servidor público" dataDxfId="13" totalsRowDxfId="12"/>
    <tableColumn id="5" xr3:uid="{00000000-0010-0000-0100-000005000000}" name="Viáticos" dataDxfId="11" totalsRowDxfId="10" dataCellStyle="Moneda"/>
    <tableColumn id="6" xr3:uid="{00000000-0010-0000-0100-000006000000}" name="# días" dataDxfId="9" totalsRowDxfId="8"/>
    <tableColumn id="7" xr3:uid="{00000000-0010-0000-0100-000007000000}" name="SUBTOTAL Viaticos" totalsRowFunction="sum" dataDxfId="7" totalsRowDxfId="6">
      <calculatedColumnFormula>+Tabla2[[#This Row],[Viáticos]]*Tabla2[[#This Row],['# días]]</calculatedColumnFormula>
    </tableColumn>
    <tableColumn id="8" xr3:uid="{00000000-0010-0000-0100-000008000000}" name="Tiquete Aereo" dataDxfId="5" totalsRowDxfId="4" dataCellStyle="Moneda"/>
    <tableColumn id="9" xr3:uid="{00000000-0010-0000-0100-000009000000}" name="Tiquete Terrestre" dataDxfId="3" totalsRowDxfId="2" dataCellStyle="Moneda"/>
    <tableColumn id="10" xr3:uid="{00000000-0010-0000-0100-00000A000000}" name="Columna1" dataDxfId="1" totalsRowDxfId="0" dataCellStyle="Moneda"/>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planeacion@inci.gov.co" TargetMode="External"/><Relationship Id="rId21" Type="http://schemas.openxmlformats.org/officeDocument/2006/relationships/hyperlink" Target="mailto:planeacion@inci.gov.co" TargetMode="External"/><Relationship Id="rId42" Type="http://schemas.openxmlformats.org/officeDocument/2006/relationships/hyperlink" Target="mailto:subdireccion@inci.gov.co" TargetMode="External"/><Relationship Id="rId47" Type="http://schemas.openxmlformats.org/officeDocument/2006/relationships/hyperlink" Target="mailto:subdireccion@inci.gov.co" TargetMode="External"/><Relationship Id="rId63" Type="http://schemas.openxmlformats.org/officeDocument/2006/relationships/hyperlink" Target="mailto:subdireccion@inci.gov.co" TargetMode="External"/><Relationship Id="rId68" Type="http://schemas.openxmlformats.org/officeDocument/2006/relationships/hyperlink" Target="mailto:secretariageneral@inci.gov.co" TargetMode="External"/><Relationship Id="rId2" Type="http://schemas.openxmlformats.org/officeDocument/2006/relationships/hyperlink" Target="mailto:subdireccion@inci.gov.co" TargetMode="External"/><Relationship Id="rId16" Type="http://schemas.openxmlformats.org/officeDocument/2006/relationships/hyperlink" Target="mailto:planeacion@inci.gov.co" TargetMode="External"/><Relationship Id="rId29" Type="http://schemas.openxmlformats.org/officeDocument/2006/relationships/hyperlink" Target="mailto:planeacion@inci.gov.co" TargetMode="External"/><Relationship Id="rId11" Type="http://schemas.openxmlformats.org/officeDocument/2006/relationships/hyperlink" Target="mailto:planeacion@inci.gov.co" TargetMode="External"/><Relationship Id="rId24" Type="http://schemas.openxmlformats.org/officeDocument/2006/relationships/hyperlink" Target="mailto:planeacion@inci.gov.co" TargetMode="External"/><Relationship Id="rId32" Type="http://schemas.openxmlformats.org/officeDocument/2006/relationships/hyperlink" Target="mailto:secretariageneral@inci.gov.co" TargetMode="External"/><Relationship Id="rId37" Type="http://schemas.openxmlformats.org/officeDocument/2006/relationships/hyperlink" Target="mailto:subdireccion@inci.gov.co" TargetMode="External"/><Relationship Id="rId40" Type="http://schemas.openxmlformats.org/officeDocument/2006/relationships/hyperlink" Target="mailto:secretariageneral@inci.gov.co" TargetMode="External"/><Relationship Id="rId45" Type="http://schemas.openxmlformats.org/officeDocument/2006/relationships/hyperlink" Target="mailto:subdireccion@inci.gov.co" TargetMode="External"/><Relationship Id="rId53" Type="http://schemas.openxmlformats.org/officeDocument/2006/relationships/hyperlink" Target="mailto:subdireccion@inci.gov.co" TargetMode="External"/><Relationship Id="rId58" Type="http://schemas.openxmlformats.org/officeDocument/2006/relationships/hyperlink" Target="mailto:secretariageneral@inci.gov.co" TargetMode="External"/><Relationship Id="rId66" Type="http://schemas.openxmlformats.org/officeDocument/2006/relationships/hyperlink" Target="mailto:planeacion@inci.gov.co" TargetMode="External"/><Relationship Id="rId74" Type="http://schemas.openxmlformats.org/officeDocument/2006/relationships/printerSettings" Target="../printerSettings/printerSettings1.bin"/><Relationship Id="rId5" Type="http://schemas.openxmlformats.org/officeDocument/2006/relationships/hyperlink" Target="mailto:secretariageneral@inci.gov.co" TargetMode="External"/><Relationship Id="rId61" Type="http://schemas.openxmlformats.org/officeDocument/2006/relationships/hyperlink" Target="mailto:subdireccion@inci.gov.co" TargetMode="External"/><Relationship Id="rId19" Type="http://schemas.openxmlformats.org/officeDocument/2006/relationships/hyperlink" Target="mailto:planeacion@inci.gov.co" TargetMode="External"/><Relationship Id="rId14" Type="http://schemas.openxmlformats.org/officeDocument/2006/relationships/hyperlink" Target="mailto:planeacion@inci.gov.co" TargetMode="External"/><Relationship Id="rId22" Type="http://schemas.openxmlformats.org/officeDocument/2006/relationships/hyperlink" Target="mailto:planeacion@inci.gov.co" TargetMode="External"/><Relationship Id="rId27" Type="http://schemas.openxmlformats.org/officeDocument/2006/relationships/hyperlink" Target="mailto:juridica@inci.gov.co" TargetMode="External"/><Relationship Id="rId30" Type="http://schemas.openxmlformats.org/officeDocument/2006/relationships/hyperlink" Target="mailto:planeacion@inci.gov.co" TargetMode="External"/><Relationship Id="rId35" Type="http://schemas.openxmlformats.org/officeDocument/2006/relationships/hyperlink" Target="mailto:secretariageneral@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ecretariageneral@inci.gov.co" TargetMode="External"/><Relationship Id="rId56" Type="http://schemas.openxmlformats.org/officeDocument/2006/relationships/hyperlink" Target="mailto:planeacion@inci.gov.co" TargetMode="External"/><Relationship Id="rId64" Type="http://schemas.openxmlformats.org/officeDocument/2006/relationships/hyperlink" Target="mailto:subdireccion@inci.gov.co" TargetMode="External"/><Relationship Id="rId69" Type="http://schemas.openxmlformats.org/officeDocument/2006/relationships/hyperlink" Target="mailto:secretariageneral@inci.gov.co" TargetMode="External"/><Relationship Id="rId8" Type="http://schemas.openxmlformats.org/officeDocument/2006/relationships/hyperlink" Target="mailto:secretariageneral@inci.gov.co" TargetMode="External"/><Relationship Id="rId51" Type="http://schemas.openxmlformats.org/officeDocument/2006/relationships/hyperlink" Target="mailto:subdireccion@inci.gov.co" TargetMode="External"/><Relationship Id="rId72" Type="http://schemas.openxmlformats.org/officeDocument/2006/relationships/hyperlink" Target="mailto:juridica@inci.gov.co" TargetMode="External"/><Relationship Id="rId3" Type="http://schemas.openxmlformats.org/officeDocument/2006/relationships/hyperlink" Target="mailto:subdireccion@inci.gov.co" TargetMode="External"/><Relationship Id="rId12" Type="http://schemas.openxmlformats.org/officeDocument/2006/relationships/hyperlink" Target="mailto:planeacion@inci.gov.co" TargetMode="External"/><Relationship Id="rId17" Type="http://schemas.openxmlformats.org/officeDocument/2006/relationships/hyperlink" Target="mailto:planeacion@inci.gov.co" TargetMode="External"/><Relationship Id="rId25" Type="http://schemas.openxmlformats.org/officeDocument/2006/relationships/hyperlink" Target="mailto:planeacion@inci.gov.co" TargetMode="External"/><Relationship Id="rId33" Type="http://schemas.openxmlformats.org/officeDocument/2006/relationships/hyperlink" Target="mailto:secretariageneral@inci.gov.co" TargetMode="External"/><Relationship Id="rId38" Type="http://schemas.openxmlformats.org/officeDocument/2006/relationships/hyperlink" Target="mailto:planeacion@inci.gov.co" TargetMode="External"/><Relationship Id="rId46" Type="http://schemas.openxmlformats.org/officeDocument/2006/relationships/hyperlink" Target="mailto:subdireccion@inci.gov.co" TargetMode="External"/><Relationship Id="rId59" Type="http://schemas.openxmlformats.org/officeDocument/2006/relationships/hyperlink" Target="mailto:subdireccion@inci.gov.co" TargetMode="External"/><Relationship Id="rId67" Type="http://schemas.openxmlformats.org/officeDocument/2006/relationships/hyperlink" Target="mailto:planeacion@inci.gov.co" TargetMode="External"/><Relationship Id="rId20" Type="http://schemas.openxmlformats.org/officeDocument/2006/relationships/hyperlink" Target="mailto:planeacion@inci.gov.co" TargetMode="External"/><Relationship Id="rId41" Type="http://schemas.openxmlformats.org/officeDocument/2006/relationships/hyperlink" Target="mailto:planeacion@inci.gov.co" TargetMode="External"/><Relationship Id="rId54" Type="http://schemas.openxmlformats.org/officeDocument/2006/relationships/hyperlink" Target="mailto:subdireccion@inci.gov.co" TargetMode="External"/><Relationship Id="rId62" Type="http://schemas.openxmlformats.org/officeDocument/2006/relationships/hyperlink" Target="mailto:subdireccion@inci.gov.co" TargetMode="External"/><Relationship Id="rId70" Type="http://schemas.openxmlformats.org/officeDocument/2006/relationships/hyperlink" Target="mailto:secretariageneral@inci.gov.co" TargetMode="External"/><Relationship Id="rId75" Type="http://schemas.openxmlformats.org/officeDocument/2006/relationships/vmlDrawing" Target="../drawings/vmlDrawing1.vml"/><Relationship Id="rId1" Type="http://schemas.openxmlformats.org/officeDocument/2006/relationships/hyperlink" Target="mailto:subdireccion@inci.gov.co" TargetMode="External"/><Relationship Id="rId6" Type="http://schemas.openxmlformats.org/officeDocument/2006/relationships/hyperlink" Target="mailto:secretariageneral@inci.gov.co" TargetMode="External"/><Relationship Id="rId15" Type="http://schemas.openxmlformats.org/officeDocument/2006/relationships/hyperlink" Target="mailto:planeacion@inci.gov.co" TargetMode="External"/><Relationship Id="rId23" Type="http://schemas.openxmlformats.org/officeDocument/2006/relationships/hyperlink" Target="mailto:planeacion@inci.gov.co" TargetMode="External"/><Relationship Id="rId28" Type="http://schemas.openxmlformats.org/officeDocument/2006/relationships/hyperlink" Target="mailto:controlinterno@inci.gov.co" TargetMode="External"/><Relationship Id="rId36" Type="http://schemas.openxmlformats.org/officeDocument/2006/relationships/hyperlink" Target="mailto:juridica@inci.gov.co" TargetMode="External"/><Relationship Id="rId49" Type="http://schemas.openxmlformats.org/officeDocument/2006/relationships/hyperlink" Target="mailto:secretariageneral@inci.gov.co" TargetMode="External"/><Relationship Id="rId57" Type="http://schemas.openxmlformats.org/officeDocument/2006/relationships/hyperlink" Target="mailto:secretariageneral@inci.gov.co" TargetMode="External"/><Relationship Id="rId10" Type="http://schemas.openxmlformats.org/officeDocument/2006/relationships/hyperlink" Target="mailto:juridica@inci.gov.co" TargetMode="External"/><Relationship Id="rId31" Type="http://schemas.openxmlformats.org/officeDocument/2006/relationships/hyperlink" Target="mailto:planea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60" Type="http://schemas.openxmlformats.org/officeDocument/2006/relationships/hyperlink" Target="mailto:secretariageneral@inci.gov.co" TargetMode="External"/><Relationship Id="rId65" Type="http://schemas.openxmlformats.org/officeDocument/2006/relationships/hyperlink" Target="mailto:planeacion@inci.gov.co" TargetMode="External"/><Relationship Id="rId73" Type="http://schemas.openxmlformats.org/officeDocument/2006/relationships/hyperlink" Target="mailto:juridica@inci.gov.co" TargetMode="External"/><Relationship Id="rId4" Type="http://schemas.openxmlformats.org/officeDocument/2006/relationships/hyperlink" Target="mailto:subdireccion@inci.gov.co" TargetMode="External"/><Relationship Id="rId9" Type="http://schemas.openxmlformats.org/officeDocument/2006/relationships/hyperlink" Target="mailto:planeacion@inci.gov.co" TargetMode="External"/><Relationship Id="rId13" Type="http://schemas.openxmlformats.org/officeDocument/2006/relationships/hyperlink" Target="mailto:planeacion@inci.gov.co" TargetMode="External"/><Relationship Id="rId18" Type="http://schemas.openxmlformats.org/officeDocument/2006/relationships/hyperlink" Target="mailto:planeacion@inci.gov.co" TargetMode="External"/><Relationship Id="rId39" Type="http://schemas.openxmlformats.org/officeDocument/2006/relationships/hyperlink" Target="mailto:planeacion@inci.gov.co" TargetMode="External"/><Relationship Id="rId34" Type="http://schemas.openxmlformats.org/officeDocument/2006/relationships/hyperlink" Target="mailto:planeacion@inci.gov.co" TargetMode="External"/><Relationship Id="rId50" Type="http://schemas.openxmlformats.org/officeDocument/2006/relationships/hyperlink" Target="mailto:controlinterno@inci.gov.co" TargetMode="External"/><Relationship Id="rId55" Type="http://schemas.openxmlformats.org/officeDocument/2006/relationships/hyperlink" Target="mailto:subdireccion@inci.gov.co" TargetMode="External"/><Relationship Id="rId76" Type="http://schemas.openxmlformats.org/officeDocument/2006/relationships/comments" Target="../comments1.xml"/><Relationship Id="rId7" Type="http://schemas.openxmlformats.org/officeDocument/2006/relationships/hyperlink" Target="mailto:secretariageneral@inci.gov.co" TargetMode="External"/><Relationship Id="rId71" Type="http://schemas.openxmlformats.org/officeDocument/2006/relationships/hyperlink" Target="mailto:juridica@inci.gov.c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230"/>
  <sheetViews>
    <sheetView tabSelected="1" zoomScale="80" zoomScaleNormal="80" workbookViewId="0">
      <pane ySplit="2" topLeftCell="A3" activePane="bottomLeft" state="frozen"/>
      <selection activeCell="B1" sqref="B1"/>
      <selection pane="bottomLeft" activeCell="B3" sqref="B3"/>
    </sheetView>
  </sheetViews>
  <sheetFormatPr baseColWidth="10" defaultColWidth="11.44140625" defaultRowHeight="26.25" customHeight="1" zeroHeight="1" x14ac:dyDescent="0.3"/>
  <cols>
    <col min="1" max="1" width="33.33203125" style="5" customWidth="1"/>
    <col min="2" max="2" width="34" style="5" customWidth="1"/>
    <col min="3" max="3" width="20" style="5" customWidth="1"/>
    <col min="4" max="4" width="30.5546875" style="5" customWidth="1"/>
    <col min="5" max="5" width="18.88671875" style="5" customWidth="1"/>
    <col min="6" max="6" width="22.44140625" style="5" customWidth="1"/>
    <col min="7" max="7" width="61.33203125" style="5" customWidth="1"/>
    <col min="8" max="8" width="16.33203125" style="5" customWidth="1"/>
    <col min="9" max="9" width="16.88671875" style="5" customWidth="1"/>
    <col min="10" max="11" width="17.109375" style="5" customWidth="1"/>
    <col min="12" max="12" width="17.5546875" style="5" customWidth="1"/>
    <col min="13" max="13" width="14.6640625" style="5" customWidth="1"/>
    <col min="14" max="14" width="16.88671875" style="5" customWidth="1"/>
    <col min="15" max="15" width="13.5546875" style="5" customWidth="1"/>
    <col min="16" max="16" width="15.6640625" style="5" customWidth="1"/>
    <col min="17" max="17" width="18.33203125" style="5" customWidth="1"/>
    <col min="18" max="18" width="16.44140625" style="5" customWidth="1"/>
    <col min="19" max="19" width="18.6640625" style="89" customWidth="1"/>
    <col min="20" max="20" width="17.5546875" style="89" customWidth="1"/>
    <col min="21" max="21" width="31.44140625" style="5" customWidth="1"/>
    <col min="22" max="22" width="23.33203125" style="5" customWidth="1"/>
    <col min="23" max="24" width="20.44140625" style="5" customWidth="1"/>
    <col min="25" max="25" width="16.44140625" style="5" customWidth="1"/>
    <col min="26" max="26" width="16.88671875" style="5" customWidth="1"/>
    <col min="27" max="27" width="21.109375" style="285" customWidth="1"/>
    <col min="28" max="28" width="21.33203125" style="6" customWidth="1"/>
    <col min="29" max="29" width="27" style="5" customWidth="1"/>
    <col min="30" max="30" width="28.33203125" style="5" customWidth="1"/>
    <col min="31" max="31" width="24.88671875" style="5" customWidth="1"/>
    <col min="32" max="32" width="29.33203125" style="5" customWidth="1"/>
    <col min="33" max="33" width="28" style="5" customWidth="1"/>
    <col min="34" max="34" width="25.6640625" style="5" customWidth="1"/>
    <col min="35" max="35" width="25" style="5" customWidth="1"/>
    <col min="36" max="36" width="26.33203125" style="5" customWidth="1"/>
    <col min="37" max="37" width="33.33203125" style="5" customWidth="1"/>
    <col min="38" max="38" width="27.44140625" style="291" customWidth="1"/>
    <col min="39" max="39" width="36.5546875" style="5" customWidth="1"/>
    <col min="40" max="40" width="17.109375" style="5" customWidth="1"/>
    <col min="41" max="41" width="11.44140625" style="5" customWidth="1"/>
    <col min="42" max="42" width="17" style="5" customWidth="1"/>
    <col min="43" max="95" width="11.44140625" style="5" customWidth="1"/>
    <col min="96" max="16384" width="11.44140625" style="5"/>
  </cols>
  <sheetData>
    <row r="1" spans="1:41" ht="52.8" customHeight="1" x14ac:dyDescent="0.3">
      <c r="A1" s="312" t="s">
        <v>1031</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row>
    <row r="2" spans="1:41" s="11" customFormat="1" ht="81.75" customHeight="1" x14ac:dyDescent="0.3">
      <c r="A2" s="13" t="s">
        <v>0</v>
      </c>
      <c r="B2" s="13" t="s">
        <v>1</v>
      </c>
      <c r="C2" s="13" t="s">
        <v>2</v>
      </c>
      <c r="D2" s="13" t="s">
        <v>3</v>
      </c>
      <c r="E2" s="13" t="s">
        <v>4</v>
      </c>
      <c r="F2" s="13" t="s">
        <v>5</v>
      </c>
      <c r="G2" s="13" t="s">
        <v>6</v>
      </c>
      <c r="H2" s="14" t="s">
        <v>7</v>
      </c>
      <c r="I2" s="14" t="s">
        <v>8</v>
      </c>
      <c r="J2" s="14" t="s">
        <v>9</v>
      </c>
      <c r="K2" s="14" t="s">
        <v>10</v>
      </c>
      <c r="L2" s="14" t="s">
        <v>11</v>
      </c>
      <c r="M2" s="14" t="s">
        <v>12</v>
      </c>
      <c r="N2" s="59" t="s">
        <v>13</v>
      </c>
      <c r="O2" s="12" t="s">
        <v>14</v>
      </c>
      <c r="P2" s="12" t="s">
        <v>15</v>
      </c>
      <c r="Q2" s="12" t="s">
        <v>16</v>
      </c>
      <c r="R2" s="12" t="s">
        <v>17</v>
      </c>
      <c r="S2" s="12" t="s">
        <v>18</v>
      </c>
      <c r="T2" s="12" t="s">
        <v>19</v>
      </c>
      <c r="U2" s="12" t="s">
        <v>20</v>
      </c>
      <c r="V2" s="12" t="s">
        <v>21</v>
      </c>
      <c r="W2" s="12" t="s">
        <v>22</v>
      </c>
      <c r="X2" s="12" t="s">
        <v>23</v>
      </c>
      <c r="Y2" s="12" t="s">
        <v>24</v>
      </c>
      <c r="Z2" s="12" t="s">
        <v>25</v>
      </c>
      <c r="AA2" s="286" t="s">
        <v>26</v>
      </c>
      <c r="AB2" s="60" t="s">
        <v>27</v>
      </c>
      <c r="AC2" s="10" t="s">
        <v>28</v>
      </c>
      <c r="AD2" s="10" t="s">
        <v>29</v>
      </c>
      <c r="AE2" s="10" t="s">
        <v>30</v>
      </c>
      <c r="AF2" s="10" t="s">
        <v>31</v>
      </c>
      <c r="AG2" s="10" t="s">
        <v>32</v>
      </c>
      <c r="AH2" s="10" t="s">
        <v>33</v>
      </c>
      <c r="AI2" s="10" t="s">
        <v>34</v>
      </c>
      <c r="AJ2" s="10" t="s">
        <v>35</v>
      </c>
      <c r="AK2" s="10" t="s">
        <v>36</v>
      </c>
      <c r="AL2" s="305" t="s">
        <v>37</v>
      </c>
      <c r="AM2" s="10" t="s">
        <v>38</v>
      </c>
    </row>
    <row r="3" spans="1:41" ht="117" customHeight="1" x14ac:dyDescent="0.3">
      <c r="A3" s="7" t="s">
        <v>39</v>
      </c>
      <c r="B3" s="62" t="s">
        <v>40</v>
      </c>
      <c r="C3" s="139" t="s">
        <v>41</v>
      </c>
      <c r="D3" s="7" t="s">
        <v>42</v>
      </c>
      <c r="E3" s="7" t="s">
        <v>43</v>
      </c>
      <c r="F3" s="77">
        <v>80111600</v>
      </c>
      <c r="G3" s="7" t="s">
        <v>44</v>
      </c>
      <c r="H3" s="7">
        <v>2</v>
      </c>
      <c r="I3" s="7">
        <v>2</v>
      </c>
      <c r="J3" s="7">
        <v>10</v>
      </c>
      <c r="K3" s="7">
        <v>1</v>
      </c>
      <c r="L3" s="7" t="s">
        <v>45</v>
      </c>
      <c r="M3" s="7" t="s">
        <v>46</v>
      </c>
      <c r="N3" s="153">
        <f>3130298*10</f>
        <v>31302980</v>
      </c>
      <c r="O3" s="7">
        <v>0</v>
      </c>
      <c r="P3" s="7">
        <v>0</v>
      </c>
      <c r="Q3" s="7" t="s">
        <v>47</v>
      </c>
      <c r="R3" s="7" t="s">
        <v>48</v>
      </c>
      <c r="S3" s="90" t="s">
        <v>49</v>
      </c>
      <c r="T3" s="90">
        <v>3846666</v>
      </c>
      <c r="U3" s="68" t="s">
        <v>50</v>
      </c>
      <c r="V3" s="7" t="s">
        <v>51</v>
      </c>
      <c r="W3" s="7" t="s">
        <v>52</v>
      </c>
      <c r="X3" s="7" t="s">
        <v>49</v>
      </c>
      <c r="Y3" s="7"/>
      <c r="Z3" s="7"/>
      <c r="AA3" s="7"/>
      <c r="AB3" s="8">
        <f t="shared" ref="AB3:AB41" si="0">+N3+Y3+Z3-AA3</f>
        <v>31302980</v>
      </c>
      <c r="AC3" s="174">
        <v>5221</v>
      </c>
      <c r="AD3" s="175">
        <v>31302980</v>
      </c>
      <c r="AE3" s="175">
        <f>+AB3-AD3</f>
        <v>0</v>
      </c>
      <c r="AF3" s="259">
        <v>6521</v>
      </c>
      <c r="AG3" s="260">
        <v>44253</v>
      </c>
      <c r="AH3" s="261">
        <v>31302980</v>
      </c>
      <c r="AI3" s="261">
        <f>+AB3-AH3</f>
        <v>0</v>
      </c>
      <c r="AJ3" s="259" t="s">
        <v>53</v>
      </c>
      <c r="AK3" s="259" t="s">
        <v>54</v>
      </c>
      <c r="AL3" s="275">
        <f>3130298+3130298+3130298+3130298+3130298+3130298+3130298+3130298+3130298+3130298</f>
        <v>31302980</v>
      </c>
      <c r="AM3" s="7"/>
      <c r="AN3" s="216"/>
    </row>
    <row r="4" spans="1:41" ht="121.5" customHeight="1" x14ac:dyDescent="0.3">
      <c r="A4" s="7" t="s">
        <v>39</v>
      </c>
      <c r="B4" s="62" t="s">
        <v>40</v>
      </c>
      <c r="C4" s="139" t="s">
        <v>41</v>
      </c>
      <c r="D4" s="7" t="s">
        <v>42</v>
      </c>
      <c r="E4" s="7" t="s">
        <v>43</v>
      </c>
      <c r="F4" s="77">
        <v>80111600</v>
      </c>
      <c r="G4" s="7" t="s">
        <v>55</v>
      </c>
      <c r="H4" s="7">
        <v>2</v>
      </c>
      <c r="I4" s="7">
        <v>2</v>
      </c>
      <c r="J4" s="7">
        <v>10</v>
      </c>
      <c r="K4" s="7">
        <v>1</v>
      </c>
      <c r="L4" s="7" t="s">
        <v>45</v>
      </c>
      <c r="M4" s="7" t="s">
        <v>46</v>
      </c>
      <c r="N4" s="153">
        <f t="shared" ref="N4:N5" si="1">3130298*10</f>
        <v>31302980</v>
      </c>
      <c r="O4" s="7">
        <v>0</v>
      </c>
      <c r="P4" s="7">
        <v>0</v>
      </c>
      <c r="Q4" s="7" t="s">
        <v>47</v>
      </c>
      <c r="R4" s="7" t="s">
        <v>48</v>
      </c>
      <c r="S4" s="90" t="s">
        <v>49</v>
      </c>
      <c r="T4" s="90">
        <v>3846666</v>
      </c>
      <c r="U4" s="68" t="s">
        <v>50</v>
      </c>
      <c r="V4" s="7" t="s">
        <v>51</v>
      </c>
      <c r="W4" s="7" t="s">
        <v>52</v>
      </c>
      <c r="X4" s="7" t="s">
        <v>49</v>
      </c>
      <c r="Y4" s="7"/>
      <c r="Z4" s="7"/>
      <c r="AA4" s="7"/>
      <c r="AB4" s="8">
        <f t="shared" si="0"/>
        <v>31302980</v>
      </c>
      <c r="AC4" s="174">
        <v>5321</v>
      </c>
      <c r="AD4" s="175">
        <v>31302980</v>
      </c>
      <c r="AE4" s="175">
        <f t="shared" ref="AE4:AE76" si="2">+AB4-AD4</f>
        <v>0</v>
      </c>
      <c r="AF4" s="259">
        <v>6621</v>
      </c>
      <c r="AG4" s="260">
        <v>44253</v>
      </c>
      <c r="AH4" s="261">
        <v>31302980</v>
      </c>
      <c r="AI4" s="261">
        <f t="shared" ref="AI4:AI76" si="3">+AB4-AH4</f>
        <v>0</v>
      </c>
      <c r="AJ4" s="259" t="s">
        <v>56</v>
      </c>
      <c r="AK4" s="259" t="s">
        <v>57</v>
      </c>
      <c r="AL4" s="275">
        <f>3130298+3130298+3130298+3130298+3130298+3130298+3130298+3130298+3130298+3130298</f>
        <v>31302980</v>
      </c>
      <c r="AM4" s="7"/>
      <c r="AN4" s="216"/>
    </row>
    <row r="5" spans="1:41" ht="113.25" customHeight="1" x14ac:dyDescent="0.3">
      <c r="A5" s="7" t="s">
        <v>39</v>
      </c>
      <c r="B5" s="62" t="s">
        <v>40</v>
      </c>
      <c r="C5" s="139" t="s">
        <v>41</v>
      </c>
      <c r="D5" s="7" t="s">
        <v>42</v>
      </c>
      <c r="E5" s="7" t="s">
        <v>43</v>
      </c>
      <c r="F5" s="77">
        <v>80111600</v>
      </c>
      <c r="G5" s="7" t="s">
        <v>58</v>
      </c>
      <c r="H5" s="7" t="s">
        <v>59</v>
      </c>
      <c r="I5" s="7" t="s">
        <v>60</v>
      </c>
      <c r="J5" s="7" t="s">
        <v>61</v>
      </c>
      <c r="K5" s="7">
        <v>0</v>
      </c>
      <c r="L5" s="7" t="s">
        <v>45</v>
      </c>
      <c r="M5" s="7" t="s">
        <v>46</v>
      </c>
      <c r="N5" s="153">
        <f t="shared" si="1"/>
        <v>31302980</v>
      </c>
      <c r="O5" s="7">
        <v>0</v>
      </c>
      <c r="P5" s="7">
        <v>0</v>
      </c>
      <c r="Q5" s="7" t="s">
        <v>47</v>
      </c>
      <c r="R5" s="7" t="s">
        <v>48</v>
      </c>
      <c r="S5" s="90" t="s">
        <v>49</v>
      </c>
      <c r="T5" s="90">
        <v>3846666</v>
      </c>
      <c r="U5" s="68" t="s">
        <v>50</v>
      </c>
      <c r="V5" s="7" t="s">
        <v>51</v>
      </c>
      <c r="W5" s="7" t="s">
        <v>52</v>
      </c>
      <c r="X5" s="7" t="s">
        <v>49</v>
      </c>
      <c r="Y5" s="7"/>
      <c r="Z5" s="7"/>
      <c r="AA5" s="235">
        <v>14201490</v>
      </c>
      <c r="AB5" s="8">
        <f t="shared" si="0"/>
        <v>17101490</v>
      </c>
      <c r="AC5" s="174">
        <v>13421</v>
      </c>
      <c r="AD5" s="175">
        <v>17101480</v>
      </c>
      <c r="AE5" s="175">
        <f t="shared" si="2"/>
        <v>10</v>
      </c>
      <c r="AF5" s="259">
        <v>14721</v>
      </c>
      <c r="AG5" s="260">
        <v>44393</v>
      </c>
      <c r="AH5" s="261">
        <v>17101480</v>
      </c>
      <c r="AI5" s="261">
        <f t="shared" si="3"/>
        <v>10</v>
      </c>
      <c r="AJ5" s="259" t="s">
        <v>819</v>
      </c>
      <c r="AK5" s="259" t="s">
        <v>818</v>
      </c>
      <c r="AL5" s="275">
        <f>1554680+3109360+3109360+3109360+3109360+3109360</f>
        <v>17101480</v>
      </c>
      <c r="AM5" s="7" t="s">
        <v>62</v>
      </c>
      <c r="AN5" s="216"/>
    </row>
    <row r="6" spans="1:41" ht="113.25" customHeight="1" x14ac:dyDescent="0.3">
      <c r="A6" s="7" t="s">
        <v>39</v>
      </c>
      <c r="B6" s="62" t="s">
        <v>40</v>
      </c>
      <c r="C6" s="139" t="s">
        <v>41</v>
      </c>
      <c r="D6" s="7" t="s">
        <v>42</v>
      </c>
      <c r="E6" s="7" t="s">
        <v>43</v>
      </c>
      <c r="F6" s="77">
        <v>80111600</v>
      </c>
      <c r="G6" s="90" t="s">
        <v>63</v>
      </c>
      <c r="H6" s="90">
        <v>6</v>
      </c>
      <c r="I6" s="90">
        <v>7</v>
      </c>
      <c r="J6" s="90" t="s">
        <v>64</v>
      </c>
      <c r="K6" s="90">
        <v>0</v>
      </c>
      <c r="L6" s="7" t="s">
        <v>45</v>
      </c>
      <c r="M6" s="7" t="s">
        <v>46</v>
      </c>
      <c r="N6" s="153">
        <v>0</v>
      </c>
      <c r="O6" s="7">
        <v>0</v>
      </c>
      <c r="P6" s="7">
        <v>0</v>
      </c>
      <c r="Q6" s="7" t="s">
        <v>47</v>
      </c>
      <c r="R6" s="7" t="s">
        <v>48</v>
      </c>
      <c r="S6" s="90" t="s">
        <v>49</v>
      </c>
      <c r="T6" s="90">
        <v>3846666</v>
      </c>
      <c r="U6" s="68" t="s">
        <v>50</v>
      </c>
      <c r="V6" s="7" t="s">
        <v>51</v>
      </c>
      <c r="W6" s="7" t="s">
        <v>52</v>
      </c>
      <c r="X6" s="7" t="s">
        <v>49</v>
      </c>
      <c r="Y6" s="235">
        <f>14201490+2900000</f>
        <v>17101490</v>
      </c>
      <c r="Z6" s="7"/>
      <c r="AA6" s="7"/>
      <c r="AB6" s="8">
        <f t="shared" si="0"/>
        <v>17101490</v>
      </c>
      <c r="AC6" s="174">
        <v>13321</v>
      </c>
      <c r="AD6" s="175">
        <v>17101480</v>
      </c>
      <c r="AE6" s="175">
        <f t="shared" ref="AE6" si="4">+AB6-AD6</f>
        <v>10</v>
      </c>
      <c r="AF6" s="259">
        <v>14621</v>
      </c>
      <c r="AG6" s="260">
        <v>44392</v>
      </c>
      <c r="AH6" s="261">
        <v>17101480</v>
      </c>
      <c r="AI6" s="261">
        <f t="shared" ref="AI6" si="5">+AB6-AH6</f>
        <v>10</v>
      </c>
      <c r="AJ6" s="259" t="s">
        <v>816</v>
      </c>
      <c r="AK6" s="259" t="s">
        <v>817</v>
      </c>
      <c r="AL6" s="275">
        <f>1554680+3109360+3109360+3109360+3109360+3109360</f>
        <v>17101480</v>
      </c>
      <c r="AM6" s="7" t="s">
        <v>62</v>
      </c>
      <c r="AN6" s="216"/>
    </row>
    <row r="7" spans="1:41" ht="136.19999999999999" customHeight="1" x14ac:dyDescent="0.3">
      <c r="A7" s="7" t="s">
        <v>39</v>
      </c>
      <c r="B7" s="62" t="s">
        <v>40</v>
      </c>
      <c r="C7" s="139" t="s">
        <v>41</v>
      </c>
      <c r="D7" s="7" t="s">
        <v>42</v>
      </c>
      <c r="E7" s="7" t="s">
        <v>43</v>
      </c>
      <c r="F7" s="7" t="s">
        <v>65</v>
      </c>
      <c r="G7" s="7" t="s">
        <v>66</v>
      </c>
      <c r="H7" s="7" t="s">
        <v>65</v>
      </c>
      <c r="I7" s="7" t="s">
        <v>65</v>
      </c>
      <c r="J7" s="7" t="s">
        <v>65</v>
      </c>
      <c r="K7" s="7" t="s">
        <v>65</v>
      </c>
      <c r="L7" s="7" t="s">
        <v>67</v>
      </c>
      <c r="M7" s="7" t="s">
        <v>46</v>
      </c>
      <c r="N7" s="153">
        <v>7455212</v>
      </c>
      <c r="O7" s="7">
        <v>0</v>
      </c>
      <c r="P7" s="7">
        <v>0</v>
      </c>
      <c r="Q7" s="7" t="s">
        <v>47</v>
      </c>
      <c r="R7" s="7" t="s">
        <v>48</v>
      </c>
      <c r="S7" s="90" t="s">
        <v>49</v>
      </c>
      <c r="T7" s="90">
        <v>3846666</v>
      </c>
      <c r="U7" s="68" t="s">
        <v>50</v>
      </c>
      <c r="V7" s="7" t="s">
        <v>51</v>
      </c>
      <c r="W7" s="7" t="s">
        <v>68</v>
      </c>
      <c r="X7" s="7" t="s">
        <v>65</v>
      </c>
      <c r="Y7" s="7"/>
      <c r="Z7" s="7"/>
      <c r="AA7" s="7"/>
      <c r="AB7" s="8">
        <f t="shared" si="0"/>
        <v>7455212</v>
      </c>
      <c r="AC7" s="174" t="s">
        <v>942</v>
      </c>
      <c r="AD7" s="175">
        <f>942800+942800+90027+ 277130+646636+831389+967410+277130+184753+831389+322470+322470+92377-92377</f>
        <v>6636404</v>
      </c>
      <c r="AE7" s="175">
        <f t="shared" si="2"/>
        <v>818808</v>
      </c>
      <c r="AF7" s="259" t="s">
        <v>944</v>
      </c>
      <c r="AG7" s="260" t="s">
        <v>943</v>
      </c>
      <c r="AH7" s="261">
        <f>942800+942800+90027+ 277130+646636+831389+967410+277130+184753+831389+322470+322470</f>
        <v>6636404</v>
      </c>
      <c r="AI7" s="261">
        <f t="shared" si="3"/>
        <v>818808</v>
      </c>
      <c r="AJ7" s="259" t="s">
        <v>936</v>
      </c>
      <c r="AK7" s="259" t="s">
        <v>834</v>
      </c>
      <c r="AL7" s="275">
        <f>942800+942800+90027+ 277130+646636+831389+967410+277130+184753+831389+322470+322470</f>
        <v>6636404</v>
      </c>
      <c r="AM7" s="7"/>
      <c r="AN7" s="216"/>
    </row>
    <row r="8" spans="1:41" ht="142.19999999999999" customHeight="1" x14ac:dyDescent="0.3">
      <c r="A8" s="7" t="s">
        <v>39</v>
      </c>
      <c r="B8" s="62" t="s">
        <v>40</v>
      </c>
      <c r="C8" s="139" t="s">
        <v>41</v>
      </c>
      <c r="D8" s="7" t="s">
        <v>42</v>
      </c>
      <c r="E8" s="7" t="s">
        <v>43</v>
      </c>
      <c r="F8" s="7" t="s">
        <v>65</v>
      </c>
      <c r="G8" s="7" t="s">
        <v>69</v>
      </c>
      <c r="H8" s="7" t="s">
        <v>65</v>
      </c>
      <c r="I8" s="7" t="s">
        <v>65</v>
      </c>
      <c r="J8" s="7" t="s">
        <v>65</v>
      </c>
      <c r="K8" s="7" t="s">
        <v>65</v>
      </c>
      <c r="L8" s="7" t="s">
        <v>67</v>
      </c>
      <c r="M8" s="7" t="s">
        <v>46</v>
      </c>
      <c r="N8" s="153">
        <v>1450000</v>
      </c>
      <c r="O8" s="7">
        <v>0</v>
      </c>
      <c r="P8" s="7">
        <v>0</v>
      </c>
      <c r="Q8" s="7" t="s">
        <v>47</v>
      </c>
      <c r="R8" s="7" t="s">
        <v>48</v>
      </c>
      <c r="S8" s="90" t="s">
        <v>49</v>
      </c>
      <c r="T8" s="90">
        <v>3846666</v>
      </c>
      <c r="U8" s="68" t="s">
        <v>50</v>
      </c>
      <c r="V8" s="7" t="s">
        <v>51</v>
      </c>
      <c r="W8" s="7" t="s">
        <v>70</v>
      </c>
      <c r="X8" s="7" t="s">
        <v>65</v>
      </c>
      <c r="Y8" s="7"/>
      <c r="Z8" s="235"/>
      <c r="AA8" s="235">
        <v>10000</v>
      </c>
      <c r="AB8" s="8">
        <f t="shared" si="0"/>
        <v>1440000</v>
      </c>
      <c r="AC8" s="174" t="s">
        <v>941</v>
      </c>
      <c r="AD8" s="175">
        <f>275000+160000-60000+10000+80000+190000+90000+155000+96000+82500+60000+60000+70000+70000+7000</f>
        <v>1345500</v>
      </c>
      <c r="AE8" s="175">
        <f t="shared" si="2"/>
        <v>94500</v>
      </c>
      <c r="AF8" s="259" t="s">
        <v>998</v>
      </c>
      <c r="AG8" s="260" t="s">
        <v>999</v>
      </c>
      <c r="AH8" s="261">
        <f>275000+160000-60000+10000+80000+190000+90000+155000+96000+82500+60000+60000+70000+70000+7000</f>
        <v>1345500</v>
      </c>
      <c r="AI8" s="261">
        <f t="shared" si="3"/>
        <v>94500</v>
      </c>
      <c r="AJ8" s="259" t="s">
        <v>937</v>
      </c>
      <c r="AK8" s="259" t="s">
        <v>835</v>
      </c>
      <c r="AL8" s="275">
        <f>275000+160000-60000+10000+80000+190000+90000+155000+96000+82500+60000+60000+70000+70000+7000</f>
        <v>1345500</v>
      </c>
      <c r="AM8" s="7" t="s">
        <v>960</v>
      </c>
      <c r="AN8" s="216"/>
    </row>
    <row r="9" spans="1:41" ht="113.25" customHeight="1" x14ac:dyDescent="0.3">
      <c r="A9" s="7" t="s">
        <v>39</v>
      </c>
      <c r="B9" s="62" t="s">
        <v>40</v>
      </c>
      <c r="C9" s="139" t="s">
        <v>41</v>
      </c>
      <c r="D9" s="7" t="s">
        <v>71</v>
      </c>
      <c r="E9" s="7" t="s">
        <v>43</v>
      </c>
      <c r="F9" s="7">
        <v>80111600</v>
      </c>
      <c r="G9" s="7" t="s">
        <v>72</v>
      </c>
      <c r="H9" s="7">
        <v>1</v>
      </c>
      <c r="I9" s="7">
        <v>1</v>
      </c>
      <c r="J9" s="7">
        <v>11</v>
      </c>
      <c r="K9" s="7">
        <v>1</v>
      </c>
      <c r="L9" s="7" t="s">
        <v>45</v>
      </c>
      <c r="M9" s="7" t="s">
        <v>46</v>
      </c>
      <c r="N9" s="153">
        <f>2900000*11</f>
        <v>31900000</v>
      </c>
      <c r="O9" s="7">
        <v>0</v>
      </c>
      <c r="P9" s="7">
        <v>0</v>
      </c>
      <c r="Q9" s="7" t="s">
        <v>47</v>
      </c>
      <c r="R9" s="7" t="s">
        <v>48</v>
      </c>
      <c r="S9" s="90" t="s">
        <v>49</v>
      </c>
      <c r="T9" s="90">
        <v>3846666</v>
      </c>
      <c r="U9" s="68" t="s">
        <v>50</v>
      </c>
      <c r="V9" s="7" t="s">
        <v>51</v>
      </c>
      <c r="W9" s="7" t="s">
        <v>73</v>
      </c>
      <c r="X9" s="7" t="s">
        <v>74</v>
      </c>
      <c r="Y9" s="7"/>
      <c r="Z9" s="7"/>
      <c r="AA9" s="235">
        <v>2900000</v>
      </c>
      <c r="AB9" s="8">
        <f t="shared" si="0"/>
        <v>29000000</v>
      </c>
      <c r="AC9" s="174">
        <v>5621</v>
      </c>
      <c r="AD9" s="175">
        <v>29000000</v>
      </c>
      <c r="AE9" s="175">
        <f t="shared" si="2"/>
        <v>0</v>
      </c>
      <c r="AF9" s="259">
        <v>6921</v>
      </c>
      <c r="AG9" s="260">
        <v>44256</v>
      </c>
      <c r="AH9" s="261">
        <v>29000000</v>
      </c>
      <c r="AI9" s="261">
        <f t="shared" si="3"/>
        <v>0</v>
      </c>
      <c r="AJ9" s="259" t="s">
        <v>75</v>
      </c>
      <c r="AK9" s="259" t="s">
        <v>76</v>
      </c>
      <c r="AL9" s="275">
        <f>2900000+2900000+2900000+2900000+2900000+2900000+2900000+2900000+2900000+2900000</f>
        <v>29000000</v>
      </c>
      <c r="AM9" s="7" t="s">
        <v>62</v>
      </c>
      <c r="AN9" s="216"/>
    </row>
    <row r="10" spans="1:41" ht="113.25" customHeight="1" x14ac:dyDescent="0.3">
      <c r="A10" s="7" t="s">
        <v>39</v>
      </c>
      <c r="B10" s="62" t="s">
        <v>40</v>
      </c>
      <c r="C10" s="139" t="s">
        <v>41</v>
      </c>
      <c r="D10" s="7" t="s">
        <v>71</v>
      </c>
      <c r="E10" s="7" t="s">
        <v>43</v>
      </c>
      <c r="F10" s="7">
        <v>80111600</v>
      </c>
      <c r="G10" s="7" t="s">
        <v>77</v>
      </c>
      <c r="H10" s="7">
        <v>1</v>
      </c>
      <c r="I10" s="7">
        <v>1</v>
      </c>
      <c r="J10" s="7">
        <v>11</v>
      </c>
      <c r="K10" s="7">
        <v>1</v>
      </c>
      <c r="L10" s="7" t="s">
        <v>45</v>
      </c>
      <c r="M10" s="7" t="s">
        <v>46</v>
      </c>
      <c r="N10" s="153">
        <f>2900000*11</f>
        <v>31900000</v>
      </c>
      <c r="O10" s="7">
        <v>0</v>
      </c>
      <c r="P10" s="7">
        <v>0</v>
      </c>
      <c r="Q10" s="7" t="s">
        <v>47</v>
      </c>
      <c r="R10" s="7" t="s">
        <v>48</v>
      </c>
      <c r="S10" s="90" t="s">
        <v>49</v>
      </c>
      <c r="T10" s="90">
        <v>3846666</v>
      </c>
      <c r="U10" s="68" t="s">
        <v>50</v>
      </c>
      <c r="V10" s="7" t="s">
        <v>51</v>
      </c>
      <c r="W10" s="7" t="s">
        <v>73</v>
      </c>
      <c r="X10" s="7" t="s">
        <v>74</v>
      </c>
      <c r="Y10" s="7"/>
      <c r="Z10" s="7"/>
      <c r="AA10" s="7"/>
      <c r="AB10" s="8">
        <f t="shared" si="0"/>
        <v>31900000</v>
      </c>
      <c r="AC10" s="174">
        <v>1721</v>
      </c>
      <c r="AD10" s="175">
        <v>31900000</v>
      </c>
      <c r="AE10" s="175">
        <f t="shared" si="2"/>
        <v>0</v>
      </c>
      <c r="AF10" s="259">
        <v>3921</v>
      </c>
      <c r="AG10" s="260">
        <v>44225</v>
      </c>
      <c r="AH10" s="261">
        <v>31900000</v>
      </c>
      <c r="AI10" s="261">
        <f t="shared" si="3"/>
        <v>0</v>
      </c>
      <c r="AJ10" s="259" t="s">
        <v>78</v>
      </c>
      <c r="AK10" s="259" t="s">
        <v>79</v>
      </c>
      <c r="AL10" s="275">
        <f>2900000+2900000+2900000+2900000+2900000+2900000+2900000+2900000+2900000+2900000+2900000</f>
        <v>31900000</v>
      </c>
      <c r="AM10" s="7"/>
      <c r="AN10" s="216"/>
    </row>
    <row r="11" spans="1:41" ht="113.25" customHeight="1" x14ac:dyDescent="0.3">
      <c r="A11" s="7" t="s">
        <v>39</v>
      </c>
      <c r="B11" s="62" t="s">
        <v>40</v>
      </c>
      <c r="C11" s="139" t="s">
        <v>41</v>
      </c>
      <c r="D11" s="7" t="s">
        <v>80</v>
      </c>
      <c r="E11" s="7" t="s">
        <v>43</v>
      </c>
      <c r="F11" s="7">
        <v>80111600</v>
      </c>
      <c r="G11" s="7" t="s">
        <v>81</v>
      </c>
      <c r="H11" s="7">
        <v>1</v>
      </c>
      <c r="I11" s="7">
        <v>1</v>
      </c>
      <c r="J11" s="7">
        <v>11</v>
      </c>
      <c r="K11" s="7">
        <v>1</v>
      </c>
      <c r="L11" s="7" t="s">
        <v>45</v>
      </c>
      <c r="M11" s="7" t="s">
        <v>46</v>
      </c>
      <c r="N11" s="153">
        <f>3130298*11</f>
        <v>34433278</v>
      </c>
      <c r="O11" s="7">
        <v>0</v>
      </c>
      <c r="P11" s="7">
        <v>0</v>
      </c>
      <c r="Q11" s="7" t="s">
        <v>47</v>
      </c>
      <c r="R11" s="7" t="s">
        <v>48</v>
      </c>
      <c r="S11" s="90" t="s">
        <v>49</v>
      </c>
      <c r="T11" s="90">
        <v>3846666</v>
      </c>
      <c r="U11" s="68" t="s">
        <v>50</v>
      </c>
      <c r="V11" s="7" t="s">
        <v>51</v>
      </c>
      <c r="W11" s="7" t="s">
        <v>52</v>
      </c>
      <c r="X11" s="7" t="s">
        <v>82</v>
      </c>
      <c r="Y11" s="7"/>
      <c r="Z11" s="7"/>
      <c r="AA11" s="7"/>
      <c r="AB11" s="8">
        <f t="shared" si="0"/>
        <v>34433278</v>
      </c>
      <c r="AC11" s="174">
        <v>3021</v>
      </c>
      <c r="AD11" s="175">
        <v>34433278</v>
      </c>
      <c r="AE11" s="175">
        <f t="shared" si="2"/>
        <v>0</v>
      </c>
      <c r="AF11" s="259">
        <v>3821</v>
      </c>
      <c r="AG11" s="260">
        <v>44225</v>
      </c>
      <c r="AH11" s="261">
        <v>34433278</v>
      </c>
      <c r="AI11" s="261">
        <f t="shared" si="3"/>
        <v>0</v>
      </c>
      <c r="AJ11" s="259" t="s">
        <v>83</v>
      </c>
      <c r="AK11" s="259" t="s">
        <v>84</v>
      </c>
      <c r="AL11" s="275">
        <f>3130298+3130298+3130298+3130298+3130298+3130298+3130298+3130298+3130298+3130298+3130298</f>
        <v>34433278</v>
      </c>
      <c r="AM11" s="7"/>
      <c r="AN11" s="216"/>
    </row>
    <row r="12" spans="1:41" ht="150.6" customHeight="1" x14ac:dyDescent="0.3">
      <c r="A12" s="7" t="s">
        <v>39</v>
      </c>
      <c r="B12" s="62" t="s">
        <v>40</v>
      </c>
      <c r="C12" s="139" t="s">
        <v>41</v>
      </c>
      <c r="D12" s="7" t="s">
        <v>80</v>
      </c>
      <c r="E12" s="7" t="s">
        <v>43</v>
      </c>
      <c r="F12" s="7">
        <v>80101509</v>
      </c>
      <c r="G12" s="90" t="s">
        <v>844</v>
      </c>
      <c r="H12" s="77" t="s">
        <v>847</v>
      </c>
      <c r="I12" s="77" t="s">
        <v>848</v>
      </c>
      <c r="J12" s="77" t="s">
        <v>848</v>
      </c>
      <c r="K12" s="7">
        <v>1</v>
      </c>
      <c r="L12" s="7" t="s">
        <v>45</v>
      </c>
      <c r="M12" s="90" t="s">
        <v>46</v>
      </c>
      <c r="N12" s="153">
        <v>25000000</v>
      </c>
      <c r="O12" s="7">
        <v>0</v>
      </c>
      <c r="P12" s="7">
        <v>0</v>
      </c>
      <c r="Q12" s="7" t="s">
        <v>47</v>
      </c>
      <c r="R12" s="7" t="s">
        <v>48</v>
      </c>
      <c r="S12" s="90" t="s">
        <v>49</v>
      </c>
      <c r="T12" s="90">
        <v>3846666</v>
      </c>
      <c r="U12" s="68" t="s">
        <v>50</v>
      </c>
      <c r="V12" s="7" t="s">
        <v>51</v>
      </c>
      <c r="W12" s="7" t="s">
        <v>85</v>
      </c>
      <c r="X12" s="7" t="s">
        <v>82</v>
      </c>
      <c r="Y12" s="7"/>
      <c r="Z12" s="7"/>
      <c r="AA12" s="7"/>
      <c r="AB12" s="237">
        <f t="shared" si="0"/>
        <v>25000000</v>
      </c>
      <c r="AC12" s="174">
        <v>12621</v>
      </c>
      <c r="AD12" s="175">
        <v>25000000</v>
      </c>
      <c r="AE12" s="175">
        <f t="shared" si="2"/>
        <v>0</v>
      </c>
      <c r="AF12" s="259" t="s">
        <v>887</v>
      </c>
      <c r="AG12" s="260" t="s">
        <v>888</v>
      </c>
      <c r="AH12" s="261">
        <f>25000000-25000000+25000000</f>
        <v>25000000</v>
      </c>
      <c r="AI12" s="261">
        <f t="shared" si="3"/>
        <v>0</v>
      </c>
      <c r="AJ12" s="259" t="s">
        <v>839</v>
      </c>
      <c r="AK12" s="259" t="s">
        <v>838</v>
      </c>
      <c r="AL12" s="275">
        <f>12500000+12500000</f>
        <v>25000000</v>
      </c>
      <c r="AM12" s="7" t="s">
        <v>798</v>
      </c>
      <c r="AN12" s="216"/>
    </row>
    <row r="13" spans="1:41" ht="113.25" customHeight="1" x14ac:dyDescent="0.3">
      <c r="A13" s="7" t="s">
        <v>39</v>
      </c>
      <c r="B13" s="62" t="s">
        <v>40</v>
      </c>
      <c r="C13" s="139" t="s">
        <v>41</v>
      </c>
      <c r="D13" s="7" t="s">
        <v>80</v>
      </c>
      <c r="E13" s="7" t="s">
        <v>43</v>
      </c>
      <c r="F13" s="7" t="s">
        <v>65</v>
      </c>
      <c r="G13" s="7" t="s">
        <v>66</v>
      </c>
      <c r="H13" s="7" t="s">
        <v>65</v>
      </c>
      <c r="I13" s="7" t="s">
        <v>65</v>
      </c>
      <c r="J13" s="7" t="s">
        <v>65</v>
      </c>
      <c r="K13" s="7" t="s">
        <v>65</v>
      </c>
      <c r="L13" s="7" t="s">
        <v>67</v>
      </c>
      <c r="M13" s="7" t="s">
        <v>46</v>
      </c>
      <c r="N13" s="153">
        <v>4211333</v>
      </c>
      <c r="O13" s="7">
        <v>0</v>
      </c>
      <c r="P13" s="7">
        <v>0</v>
      </c>
      <c r="Q13" s="7" t="s">
        <v>47</v>
      </c>
      <c r="R13" s="7" t="s">
        <v>48</v>
      </c>
      <c r="S13" s="90" t="s">
        <v>49</v>
      </c>
      <c r="T13" s="90">
        <v>3846666</v>
      </c>
      <c r="U13" s="68" t="s">
        <v>50</v>
      </c>
      <c r="V13" s="7" t="s">
        <v>51</v>
      </c>
      <c r="W13" s="7" t="s">
        <v>68</v>
      </c>
      <c r="X13" s="7" t="s">
        <v>65</v>
      </c>
      <c r="Y13" s="7"/>
      <c r="Z13" s="7"/>
      <c r="AA13" s="7"/>
      <c r="AB13" s="8">
        <f t="shared" si="0"/>
        <v>4211333</v>
      </c>
      <c r="AC13" s="174" t="s">
        <v>940</v>
      </c>
      <c r="AD13" s="175">
        <f>864024+864024</f>
        <v>1728048</v>
      </c>
      <c r="AE13" s="175">
        <f t="shared" si="2"/>
        <v>2483285</v>
      </c>
      <c r="AF13" s="259" t="s">
        <v>994</v>
      </c>
      <c r="AG13" s="260" t="s">
        <v>995</v>
      </c>
      <c r="AH13" s="261">
        <f>864024+864024</f>
        <v>1728048</v>
      </c>
      <c r="AI13" s="261">
        <f t="shared" si="3"/>
        <v>2483285</v>
      </c>
      <c r="AJ13" s="294" t="s">
        <v>1001</v>
      </c>
      <c r="AK13" s="259" t="s">
        <v>924</v>
      </c>
      <c r="AL13" s="275">
        <f>864024+864024</f>
        <v>1728048</v>
      </c>
      <c r="AM13" s="232"/>
      <c r="AN13" s="216"/>
    </row>
    <row r="14" spans="1:41" ht="113.25" customHeight="1" x14ac:dyDescent="0.3">
      <c r="A14" s="7" t="s">
        <v>39</v>
      </c>
      <c r="B14" s="62" t="s">
        <v>40</v>
      </c>
      <c r="C14" s="139" t="s">
        <v>41</v>
      </c>
      <c r="D14" s="7" t="s">
        <v>80</v>
      </c>
      <c r="E14" s="7" t="s">
        <v>43</v>
      </c>
      <c r="F14" s="7" t="s">
        <v>65</v>
      </c>
      <c r="G14" s="7" t="s">
        <v>69</v>
      </c>
      <c r="H14" s="7" t="s">
        <v>65</v>
      </c>
      <c r="I14" s="7" t="s">
        <v>65</v>
      </c>
      <c r="J14" s="7" t="s">
        <v>65</v>
      </c>
      <c r="K14" s="7" t="s">
        <v>65</v>
      </c>
      <c r="L14" s="7" t="s">
        <v>67</v>
      </c>
      <c r="M14" s="7" t="s">
        <v>46</v>
      </c>
      <c r="N14" s="153">
        <v>370000</v>
      </c>
      <c r="O14" s="7">
        <v>0</v>
      </c>
      <c r="P14" s="7">
        <v>0</v>
      </c>
      <c r="Q14" s="7" t="s">
        <v>47</v>
      </c>
      <c r="R14" s="7" t="s">
        <v>48</v>
      </c>
      <c r="S14" s="90" t="s">
        <v>49</v>
      </c>
      <c r="T14" s="90">
        <v>3846666</v>
      </c>
      <c r="U14" s="68" t="s">
        <v>50</v>
      </c>
      <c r="V14" s="7" t="s">
        <v>51</v>
      </c>
      <c r="W14" s="7" t="s">
        <v>70</v>
      </c>
      <c r="X14" s="7" t="s">
        <v>65</v>
      </c>
      <c r="Y14" s="7"/>
      <c r="Z14" s="235">
        <v>10000</v>
      </c>
      <c r="AA14" s="235"/>
      <c r="AB14" s="8">
        <f t="shared" si="0"/>
        <v>380000</v>
      </c>
      <c r="AC14" s="174" t="s">
        <v>976</v>
      </c>
      <c r="AD14" s="175">
        <f>70000+70000+60000+60000+60000+60000</f>
        <v>380000</v>
      </c>
      <c r="AE14" s="175">
        <f t="shared" si="2"/>
        <v>0</v>
      </c>
      <c r="AF14" s="259" t="s">
        <v>996</v>
      </c>
      <c r="AG14" s="260" t="s">
        <v>997</v>
      </c>
      <c r="AH14" s="261">
        <f>70000+70000+60000+60000+60000+60000</f>
        <v>380000</v>
      </c>
      <c r="AI14" s="261">
        <f t="shared" si="3"/>
        <v>0</v>
      </c>
      <c r="AJ14" s="294" t="s">
        <v>1000</v>
      </c>
      <c r="AK14" s="259" t="s">
        <v>835</v>
      </c>
      <c r="AL14" s="275">
        <f>70000+70000+60000+60000+60000+60000</f>
        <v>380000</v>
      </c>
      <c r="AM14" s="7" t="s">
        <v>960</v>
      </c>
      <c r="AN14" s="216"/>
    </row>
    <row r="15" spans="1:41" ht="113.25" customHeight="1" x14ac:dyDescent="0.3">
      <c r="A15" s="7" t="s">
        <v>39</v>
      </c>
      <c r="B15" s="62" t="s">
        <v>40</v>
      </c>
      <c r="C15" s="139" t="s">
        <v>41</v>
      </c>
      <c r="D15" s="7" t="s">
        <v>86</v>
      </c>
      <c r="E15" s="7" t="s">
        <v>87</v>
      </c>
      <c r="F15" s="7">
        <v>80111600</v>
      </c>
      <c r="G15" s="7" t="s">
        <v>88</v>
      </c>
      <c r="H15" s="7">
        <v>1</v>
      </c>
      <c r="I15" s="7">
        <v>1</v>
      </c>
      <c r="J15" s="7">
        <v>11</v>
      </c>
      <c r="K15" s="7">
        <v>1</v>
      </c>
      <c r="L15" s="7" t="s">
        <v>45</v>
      </c>
      <c r="M15" s="7" t="s">
        <v>46</v>
      </c>
      <c r="N15" s="153">
        <f>3130298*11+5166722</f>
        <v>39600000</v>
      </c>
      <c r="O15" s="7">
        <v>0</v>
      </c>
      <c r="P15" s="7">
        <v>0</v>
      </c>
      <c r="Q15" s="7" t="s">
        <v>47</v>
      </c>
      <c r="R15" s="7" t="s">
        <v>48</v>
      </c>
      <c r="S15" s="90" t="s">
        <v>49</v>
      </c>
      <c r="T15" s="90">
        <v>3846666</v>
      </c>
      <c r="U15" s="68" t="s">
        <v>50</v>
      </c>
      <c r="V15" s="7" t="s">
        <v>51</v>
      </c>
      <c r="W15" s="7" t="s">
        <v>52</v>
      </c>
      <c r="X15" s="7" t="s">
        <v>89</v>
      </c>
      <c r="Y15" s="7"/>
      <c r="Z15" s="7"/>
      <c r="AA15" s="7"/>
      <c r="AB15" s="8">
        <f t="shared" si="0"/>
        <v>39600000</v>
      </c>
      <c r="AC15" s="180">
        <v>3321</v>
      </c>
      <c r="AD15" s="181">
        <v>39600000</v>
      </c>
      <c r="AE15" s="181">
        <f t="shared" si="2"/>
        <v>0</v>
      </c>
      <c r="AF15" s="259">
        <v>3421</v>
      </c>
      <c r="AG15" s="260">
        <v>44225</v>
      </c>
      <c r="AH15" s="261">
        <v>39600000</v>
      </c>
      <c r="AI15" s="261">
        <f t="shared" si="3"/>
        <v>0</v>
      </c>
      <c r="AJ15" s="259" t="s">
        <v>90</v>
      </c>
      <c r="AK15" s="259" t="s">
        <v>1012</v>
      </c>
      <c r="AL15" s="275">
        <f>3600000+3600000+3600000+3600000+3600000+3600000+3600000+3600000+3600000+2040000+1560000+3600000</f>
        <v>39600000</v>
      </c>
      <c r="AM15" s="7"/>
      <c r="AN15" s="216"/>
    </row>
    <row r="16" spans="1:41" ht="113.25" customHeight="1" x14ac:dyDescent="0.3">
      <c r="A16" s="7" t="s">
        <v>39</v>
      </c>
      <c r="B16" s="62" t="s">
        <v>40</v>
      </c>
      <c r="C16" s="139" t="s">
        <v>41</v>
      </c>
      <c r="D16" s="7" t="s">
        <v>86</v>
      </c>
      <c r="E16" s="7" t="s">
        <v>87</v>
      </c>
      <c r="F16" s="7">
        <v>80111600</v>
      </c>
      <c r="G16" s="90" t="s">
        <v>91</v>
      </c>
      <c r="H16" s="7">
        <v>1</v>
      </c>
      <c r="I16" s="7">
        <v>1</v>
      </c>
      <c r="J16" s="7">
        <v>11</v>
      </c>
      <c r="K16" s="7">
        <v>1</v>
      </c>
      <c r="L16" s="7" t="s">
        <v>45</v>
      </c>
      <c r="M16" s="7" t="s">
        <v>46</v>
      </c>
      <c r="N16" s="153">
        <f>3219000*11</f>
        <v>35409000</v>
      </c>
      <c r="O16" s="7">
        <v>0</v>
      </c>
      <c r="P16" s="7">
        <v>0</v>
      </c>
      <c r="Q16" s="7" t="s">
        <v>47</v>
      </c>
      <c r="R16" s="7" t="s">
        <v>48</v>
      </c>
      <c r="S16" s="90" t="s">
        <v>49</v>
      </c>
      <c r="T16" s="90">
        <v>3846666</v>
      </c>
      <c r="U16" s="68" t="s">
        <v>50</v>
      </c>
      <c r="V16" s="7" t="s">
        <v>51</v>
      </c>
      <c r="W16" s="7" t="s">
        <v>52</v>
      </c>
      <c r="X16" s="7" t="s">
        <v>89</v>
      </c>
      <c r="Y16" s="7"/>
      <c r="Z16" s="7"/>
      <c r="AA16" s="7"/>
      <c r="AB16" s="8">
        <f t="shared" si="0"/>
        <v>35409000</v>
      </c>
      <c r="AC16" s="174">
        <v>2921</v>
      </c>
      <c r="AD16" s="175">
        <v>35409000</v>
      </c>
      <c r="AE16" s="175">
        <f t="shared" si="2"/>
        <v>0</v>
      </c>
      <c r="AF16" s="259">
        <v>3521</v>
      </c>
      <c r="AG16" s="260">
        <v>44225</v>
      </c>
      <c r="AH16" s="261">
        <v>35409000</v>
      </c>
      <c r="AI16" s="261">
        <f t="shared" si="3"/>
        <v>0</v>
      </c>
      <c r="AJ16" s="259" t="s">
        <v>92</v>
      </c>
      <c r="AK16" s="259" t="s">
        <v>93</v>
      </c>
      <c r="AL16" s="275">
        <f>3748997+3748997+3748997+3748997+3748997+3748997+3748997+3748997+3748997+1668027</f>
        <v>35409000</v>
      </c>
      <c r="AM16" s="7"/>
      <c r="AN16" s="216"/>
      <c r="AO16" s="5">
        <v>1668027</v>
      </c>
    </row>
    <row r="17" spans="1:40" ht="113.25" customHeight="1" x14ac:dyDescent="0.3">
      <c r="A17" s="7" t="s">
        <v>39</v>
      </c>
      <c r="B17" s="62" t="s">
        <v>40</v>
      </c>
      <c r="C17" s="139" t="s">
        <v>41</v>
      </c>
      <c r="D17" s="7" t="s">
        <v>86</v>
      </c>
      <c r="E17" s="7" t="s">
        <v>87</v>
      </c>
      <c r="F17" s="7">
        <v>80111600</v>
      </c>
      <c r="G17" s="90" t="s">
        <v>94</v>
      </c>
      <c r="H17" s="7">
        <v>1</v>
      </c>
      <c r="I17" s="7">
        <v>1</v>
      </c>
      <c r="J17" s="7">
        <v>11</v>
      </c>
      <c r="K17" s="7">
        <v>1</v>
      </c>
      <c r="L17" s="7" t="s">
        <v>45</v>
      </c>
      <c r="M17" s="7" t="s">
        <v>46</v>
      </c>
      <c r="N17" s="153">
        <f>3130298*11</f>
        <v>34433278</v>
      </c>
      <c r="O17" s="7">
        <v>0</v>
      </c>
      <c r="P17" s="7">
        <v>0</v>
      </c>
      <c r="Q17" s="7" t="s">
        <v>47</v>
      </c>
      <c r="R17" s="7" t="s">
        <v>48</v>
      </c>
      <c r="S17" s="90" t="s">
        <v>49</v>
      </c>
      <c r="T17" s="90">
        <v>3846666</v>
      </c>
      <c r="U17" s="68" t="s">
        <v>50</v>
      </c>
      <c r="V17" s="7" t="s">
        <v>51</v>
      </c>
      <c r="W17" s="7" t="s">
        <v>52</v>
      </c>
      <c r="X17" s="7" t="s">
        <v>89</v>
      </c>
      <c r="Y17" s="7"/>
      <c r="Z17" s="7"/>
      <c r="AA17" s="7"/>
      <c r="AB17" s="8">
        <f t="shared" si="0"/>
        <v>34433278</v>
      </c>
      <c r="AC17" s="174">
        <v>3221</v>
      </c>
      <c r="AD17" s="175">
        <v>34433278</v>
      </c>
      <c r="AE17" s="175">
        <f t="shared" si="2"/>
        <v>0</v>
      </c>
      <c r="AF17" s="259">
        <v>3321</v>
      </c>
      <c r="AG17" s="260">
        <v>44225</v>
      </c>
      <c r="AH17" s="261">
        <v>34433278</v>
      </c>
      <c r="AI17" s="261">
        <f t="shared" si="3"/>
        <v>0</v>
      </c>
      <c r="AJ17" s="259" t="s">
        <v>95</v>
      </c>
      <c r="AK17" s="259" t="s">
        <v>96</v>
      </c>
      <c r="AL17" s="275">
        <f>3130298+3130298+3130298+3130298+3130298+3130298+3130298+3130298+3130298+3130298+3130298</f>
        <v>34433278</v>
      </c>
      <c r="AM17" s="7"/>
      <c r="AN17" s="216"/>
    </row>
    <row r="18" spans="1:40" ht="113.25" customHeight="1" x14ac:dyDescent="0.3">
      <c r="A18" s="7" t="s">
        <v>97</v>
      </c>
      <c r="B18" s="62" t="s">
        <v>40</v>
      </c>
      <c r="C18" s="61" t="s">
        <v>98</v>
      </c>
      <c r="D18" s="7" t="s">
        <v>99</v>
      </c>
      <c r="E18" s="7" t="s">
        <v>100</v>
      </c>
      <c r="F18" s="7">
        <v>80111600</v>
      </c>
      <c r="G18" s="90" t="s">
        <v>91</v>
      </c>
      <c r="H18" s="7">
        <v>1</v>
      </c>
      <c r="I18" s="7">
        <v>1</v>
      </c>
      <c r="J18" s="7">
        <v>11</v>
      </c>
      <c r="K18" s="7">
        <v>1</v>
      </c>
      <c r="L18" s="7" t="s">
        <v>45</v>
      </c>
      <c r="M18" s="7" t="s">
        <v>46</v>
      </c>
      <c r="N18" s="153">
        <f>2914982*2</f>
        <v>5829964</v>
      </c>
      <c r="O18" s="7">
        <v>0</v>
      </c>
      <c r="P18" s="7">
        <v>0</v>
      </c>
      <c r="Q18" s="7" t="s">
        <v>47</v>
      </c>
      <c r="R18" s="7" t="s">
        <v>48</v>
      </c>
      <c r="S18" s="90" t="s">
        <v>49</v>
      </c>
      <c r="T18" s="90">
        <v>3846666</v>
      </c>
      <c r="U18" s="68" t="s">
        <v>50</v>
      </c>
      <c r="V18" s="7" t="s">
        <v>51</v>
      </c>
      <c r="W18" s="7" t="s">
        <v>52</v>
      </c>
      <c r="X18" s="7" t="s">
        <v>89</v>
      </c>
      <c r="Y18" s="7"/>
      <c r="Z18" s="7"/>
      <c r="AA18" s="7"/>
      <c r="AB18" s="8">
        <f t="shared" ref="AB18" si="6">+N18+Y18+Z18-AA18</f>
        <v>5829964</v>
      </c>
      <c r="AC18" s="174">
        <v>2921</v>
      </c>
      <c r="AD18" s="175">
        <v>5829964</v>
      </c>
      <c r="AE18" s="175">
        <f t="shared" si="2"/>
        <v>0</v>
      </c>
      <c r="AF18" s="259">
        <v>3521</v>
      </c>
      <c r="AG18" s="260">
        <v>44225</v>
      </c>
      <c r="AH18" s="261">
        <v>5829964</v>
      </c>
      <c r="AI18" s="261">
        <f t="shared" si="3"/>
        <v>0</v>
      </c>
      <c r="AJ18" s="259" t="s">
        <v>92</v>
      </c>
      <c r="AK18" s="259" t="s">
        <v>93</v>
      </c>
      <c r="AL18" s="275">
        <f>3748997+2080967</f>
        <v>5829964</v>
      </c>
      <c r="AM18" s="7"/>
      <c r="AN18" s="216"/>
    </row>
    <row r="19" spans="1:40" ht="113.25" customHeight="1" x14ac:dyDescent="0.3">
      <c r="A19" s="7" t="s">
        <v>97</v>
      </c>
      <c r="B19" s="62" t="s">
        <v>40</v>
      </c>
      <c r="C19" s="61" t="s">
        <v>98</v>
      </c>
      <c r="D19" s="7" t="s">
        <v>99</v>
      </c>
      <c r="E19" s="7" t="s">
        <v>100</v>
      </c>
      <c r="F19" s="7">
        <v>80111600</v>
      </c>
      <c r="G19" s="7" t="s">
        <v>101</v>
      </c>
      <c r="H19" s="7">
        <v>1</v>
      </c>
      <c r="I19" s="7">
        <v>1</v>
      </c>
      <c r="J19" s="7">
        <v>11</v>
      </c>
      <c r="K19" s="7">
        <v>1</v>
      </c>
      <c r="L19" s="7" t="s">
        <v>45</v>
      </c>
      <c r="M19" s="7" t="s">
        <v>46</v>
      </c>
      <c r="N19" s="153">
        <f>2320000*11</f>
        <v>25520000</v>
      </c>
      <c r="O19" s="7">
        <v>0</v>
      </c>
      <c r="P19" s="7">
        <v>0</v>
      </c>
      <c r="Q19" s="7" t="s">
        <v>47</v>
      </c>
      <c r="R19" s="7" t="s">
        <v>48</v>
      </c>
      <c r="S19" s="90" t="s">
        <v>49</v>
      </c>
      <c r="T19" s="90">
        <v>3846666</v>
      </c>
      <c r="U19" s="68" t="s">
        <v>50</v>
      </c>
      <c r="V19" s="7" t="s">
        <v>51</v>
      </c>
      <c r="W19" s="7" t="s">
        <v>102</v>
      </c>
      <c r="X19" s="7" t="s">
        <v>103</v>
      </c>
      <c r="Y19" s="7"/>
      <c r="Z19" s="7"/>
      <c r="AA19" s="7"/>
      <c r="AB19" s="8">
        <f t="shared" si="0"/>
        <v>25520000</v>
      </c>
      <c r="AC19" s="174">
        <v>2821</v>
      </c>
      <c r="AD19" s="175">
        <v>25520000</v>
      </c>
      <c r="AE19" s="175">
        <f t="shared" si="2"/>
        <v>0</v>
      </c>
      <c r="AF19" s="259">
        <v>2221</v>
      </c>
      <c r="AG19" s="260">
        <v>44222</v>
      </c>
      <c r="AH19" s="261">
        <v>25520000</v>
      </c>
      <c r="AI19" s="261">
        <f t="shared" si="3"/>
        <v>0</v>
      </c>
      <c r="AJ19" s="259" t="s">
        <v>104</v>
      </c>
      <c r="AK19" s="259" t="s">
        <v>105</v>
      </c>
      <c r="AL19" s="275">
        <f>2320000+309333+2320000+2320000+2320000+2320000+2320000+2320000+2320000+2320000+2320000+2010667</f>
        <v>25520000</v>
      </c>
      <c r="AM19" s="7"/>
      <c r="AN19" s="216"/>
    </row>
    <row r="20" spans="1:40" ht="113.25" customHeight="1" x14ac:dyDescent="0.3">
      <c r="A20" s="7" t="s">
        <v>97</v>
      </c>
      <c r="B20" s="62" t="s">
        <v>40</v>
      </c>
      <c r="C20" s="61" t="s">
        <v>98</v>
      </c>
      <c r="D20" s="7" t="s">
        <v>99</v>
      </c>
      <c r="E20" s="7" t="s">
        <v>100</v>
      </c>
      <c r="F20" s="7">
        <v>80111600</v>
      </c>
      <c r="G20" s="7" t="s">
        <v>106</v>
      </c>
      <c r="H20" s="7">
        <v>1</v>
      </c>
      <c r="I20" s="7">
        <v>1</v>
      </c>
      <c r="J20" s="7">
        <v>11</v>
      </c>
      <c r="K20" s="7">
        <v>1</v>
      </c>
      <c r="L20" s="7" t="s">
        <v>45</v>
      </c>
      <c r="M20" s="7" t="s">
        <v>46</v>
      </c>
      <c r="N20" s="153">
        <f>3130298*11</f>
        <v>34433278</v>
      </c>
      <c r="O20" s="7">
        <v>0</v>
      </c>
      <c r="P20" s="7">
        <v>0</v>
      </c>
      <c r="Q20" s="7" t="s">
        <v>47</v>
      </c>
      <c r="R20" s="7" t="s">
        <v>48</v>
      </c>
      <c r="S20" s="90" t="s">
        <v>49</v>
      </c>
      <c r="T20" s="90">
        <v>3846666</v>
      </c>
      <c r="U20" s="68" t="s">
        <v>50</v>
      </c>
      <c r="V20" s="7" t="s">
        <v>51</v>
      </c>
      <c r="W20" s="7" t="s">
        <v>52</v>
      </c>
      <c r="X20" s="7" t="s">
        <v>103</v>
      </c>
      <c r="Y20" s="7"/>
      <c r="Z20" s="7"/>
      <c r="AA20" s="7"/>
      <c r="AB20" s="8">
        <f t="shared" si="0"/>
        <v>34433278</v>
      </c>
      <c r="AC20" s="174">
        <v>2721</v>
      </c>
      <c r="AD20" s="175">
        <v>34433278</v>
      </c>
      <c r="AE20" s="175">
        <f t="shared" si="2"/>
        <v>0</v>
      </c>
      <c r="AF20" s="259">
        <v>2321</v>
      </c>
      <c r="AG20" s="259" t="s">
        <v>107</v>
      </c>
      <c r="AH20" s="261">
        <v>34433278</v>
      </c>
      <c r="AI20" s="261">
        <f t="shared" si="3"/>
        <v>0</v>
      </c>
      <c r="AJ20" s="259" t="s">
        <v>108</v>
      </c>
      <c r="AK20" s="259" t="s">
        <v>109</v>
      </c>
      <c r="AL20" s="275">
        <f>3130298+417373+3130298+3130298+3130298+3130298+3130298+3130298+3130298+3130298+3130298+2712925</f>
        <v>34433278</v>
      </c>
      <c r="AM20" s="7"/>
      <c r="AN20" s="216"/>
    </row>
    <row r="21" spans="1:40" ht="113.25" customHeight="1" x14ac:dyDescent="0.3">
      <c r="A21" s="7" t="s">
        <v>97</v>
      </c>
      <c r="B21" s="62" t="s">
        <v>40</v>
      </c>
      <c r="C21" s="61" t="s">
        <v>98</v>
      </c>
      <c r="D21" s="7" t="s">
        <v>99</v>
      </c>
      <c r="E21" s="7" t="s">
        <v>100</v>
      </c>
      <c r="F21" s="7">
        <v>80111600</v>
      </c>
      <c r="G21" s="7" t="s">
        <v>110</v>
      </c>
      <c r="H21" s="7">
        <v>1</v>
      </c>
      <c r="I21" s="7">
        <v>1</v>
      </c>
      <c r="J21" s="7">
        <v>11</v>
      </c>
      <c r="K21" s="7">
        <v>1</v>
      </c>
      <c r="L21" s="7" t="s">
        <v>45</v>
      </c>
      <c r="M21" s="7" t="s">
        <v>46</v>
      </c>
      <c r="N21" s="153">
        <f>1200265*11</f>
        <v>13202915</v>
      </c>
      <c r="O21" s="7">
        <v>0</v>
      </c>
      <c r="P21" s="7">
        <v>0</v>
      </c>
      <c r="Q21" s="7" t="s">
        <v>47</v>
      </c>
      <c r="R21" s="7" t="s">
        <v>48</v>
      </c>
      <c r="S21" s="90" t="s">
        <v>49</v>
      </c>
      <c r="T21" s="90">
        <v>3846666</v>
      </c>
      <c r="U21" s="68" t="s">
        <v>50</v>
      </c>
      <c r="V21" s="7" t="s">
        <v>51</v>
      </c>
      <c r="W21" s="7" t="s">
        <v>73</v>
      </c>
      <c r="X21" s="7" t="s">
        <v>103</v>
      </c>
      <c r="Y21" s="7"/>
      <c r="Z21" s="7"/>
      <c r="AA21" s="7"/>
      <c r="AB21" s="8">
        <f t="shared" si="0"/>
        <v>13202915</v>
      </c>
      <c r="AC21" s="174">
        <v>2621</v>
      </c>
      <c r="AD21" s="175">
        <v>13202915</v>
      </c>
      <c r="AE21" s="175">
        <f t="shared" si="2"/>
        <v>0</v>
      </c>
      <c r="AF21" s="259">
        <v>2121</v>
      </c>
      <c r="AG21" s="260">
        <v>44222</v>
      </c>
      <c r="AH21" s="261">
        <v>13202915</v>
      </c>
      <c r="AI21" s="261">
        <f t="shared" si="3"/>
        <v>0</v>
      </c>
      <c r="AJ21" s="259" t="s">
        <v>111</v>
      </c>
      <c r="AK21" s="259" t="s">
        <v>112</v>
      </c>
      <c r="AL21" s="275">
        <f>160035+1200265+1200265+1200265+1200265+1200265+1200265+1200265+1200265+1200265+1200265+1040230</f>
        <v>13202915</v>
      </c>
      <c r="AM21" s="7"/>
      <c r="AN21" s="216"/>
    </row>
    <row r="22" spans="1:40" ht="113.25" customHeight="1" x14ac:dyDescent="0.3">
      <c r="A22" s="7" t="s">
        <v>97</v>
      </c>
      <c r="B22" s="62" t="s">
        <v>40</v>
      </c>
      <c r="C22" s="61" t="s">
        <v>98</v>
      </c>
      <c r="D22" s="7" t="s">
        <v>99</v>
      </c>
      <c r="E22" s="7" t="s">
        <v>100</v>
      </c>
      <c r="F22" s="7">
        <v>80111600</v>
      </c>
      <c r="G22" s="7" t="s">
        <v>113</v>
      </c>
      <c r="H22" s="7">
        <v>1</v>
      </c>
      <c r="I22" s="7">
        <v>1</v>
      </c>
      <c r="J22" s="7">
        <v>11</v>
      </c>
      <c r="K22" s="7">
        <v>1</v>
      </c>
      <c r="L22" s="7" t="s">
        <v>45</v>
      </c>
      <c r="M22" s="7" t="s">
        <v>46</v>
      </c>
      <c r="N22" s="153">
        <f>1200265*11</f>
        <v>13202915</v>
      </c>
      <c r="O22" s="7">
        <v>0</v>
      </c>
      <c r="P22" s="7">
        <v>0</v>
      </c>
      <c r="Q22" s="7" t="s">
        <v>47</v>
      </c>
      <c r="R22" s="7" t="s">
        <v>48</v>
      </c>
      <c r="S22" s="90" t="s">
        <v>49</v>
      </c>
      <c r="T22" s="90">
        <v>3846666</v>
      </c>
      <c r="U22" s="68" t="s">
        <v>50</v>
      </c>
      <c r="V22" s="7" t="s">
        <v>51</v>
      </c>
      <c r="W22" s="7" t="s">
        <v>73</v>
      </c>
      <c r="X22" s="7" t="s">
        <v>103</v>
      </c>
      <c r="Y22" s="7"/>
      <c r="Z22" s="7"/>
      <c r="AA22" s="7"/>
      <c r="AB22" s="8">
        <f t="shared" si="0"/>
        <v>13202915</v>
      </c>
      <c r="AC22" s="174">
        <v>2521</v>
      </c>
      <c r="AD22" s="175">
        <v>13202915</v>
      </c>
      <c r="AE22" s="175">
        <f t="shared" si="2"/>
        <v>0</v>
      </c>
      <c r="AF22" s="259">
        <v>2021</v>
      </c>
      <c r="AG22" s="260">
        <v>44222</v>
      </c>
      <c r="AH22" s="261">
        <v>13202915</v>
      </c>
      <c r="AI22" s="261">
        <f t="shared" si="3"/>
        <v>0</v>
      </c>
      <c r="AJ22" s="259" t="s">
        <v>114</v>
      </c>
      <c r="AK22" s="259" t="s">
        <v>115</v>
      </c>
      <c r="AL22" s="275">
        <f>1200265+160035+1200265+1200265+1200265+1200265+1200265+1200265+1200265+1200265+1200265+1040230</f>
        <v>13202915</v>
      </c>
      <c r="AM22" s="7"/>
      <c r="AN22" s="216"/>
    </row>
    <row r="23" spans="1:40" ht="113.25" customHeight="1" x14ac:dyDescent="0.3">
      <c r="A23" s="7" t="s">
        <v>97</v>
      </c>
      <c r="B23" s="62" t="s">
        <v>40</v>
      </c>
      <c r="C23" s="61" t="s">
        <v>98</v>
      </c>
      <c r="D23" s="7" t="s">
        <v>116</v>
      </c>
      <c r="E23" s="7" t="s">
        <v>117</v>
      </c>
      <c r="F23" s="7">
        <v>90121702</v>
      </c>
      <c r="G23" s="7" t="s">
        <v>118</v>
      </c>
      <c r="H23" s="7">
        <v>2</v>
      </c>
      <c r="I23" s="7">
        <v>2</v>
      </c>
      <c r="J23" s="7">
        <v>10</v>
      </c>
      <c r="K23" s="7">
        <v>1</v>
      </c>
      <c r="L23" s="7" t="s">
        <v>45</v>
      </c>
      <c r="M23" s="90" t="s">
        <v>119</v>
      </c>
      <c r="N23" s="172">
        <v>10000000</v>
      </c>
      <c r="O23" s="7">
        <v>0</v>
      </c>
      <c r="P23" s="7">
        <v>0</v>
      </c>
      <c r="Q23" s="7" t="s">
        <v>47</v>
      </c>
      <c r="R23" s="7" t="s">
        <v>48</v>
      </c>
      <c r="S23" s="90" t="s">
        <v>49</v>
      </c>
      <c r="T23" s="90">
        <v>3846666</v>
      </c>
      <c r="U23" s="68" t="s">
        <v>50</v>
      </c>
      <c r="V23" s="7" t="s">
        <v>51</v>
      </c>
      <c r="W23" s="7" t="s">
        <v>85</v>
      </c>
      <c r="X23" s="7" t="s">
        <v>120</v>
      </c>
      <c r="Y23" s="90"/>
      <c r="Z23" s="90"/>
      <c r="AA23" s="237">
        <f>2448094+2448094+2448094+2655718</f>
        <v>10000000</v>
      </c>
      <c r="AB23" s="237">
        <f t="shared" si="0"/>
        <v>0</v>
      </c>
      <c r="AC23" s="232"/>
      <c r="AD23" s="233"/>
      <c r="AE23" s="233">
        <f t="shared" si="2"/>
        <v>0</v>
      </c>
      <c r="AF23" s="232"/>
      <c r="AG23" s="232"/>
      <c r="AH23" s="233"/>
      <c r="AI23" s="233">
        <f t="shared" si="3"/>
        <v>0</v>
      </c>
      <c r="AJ23" s="232"/>
      <c r="AK23" s="232"/>
      <c r="AL23" s="233"/>
      <c r="AM23" s="232" t="s">
        <v>121</v>
      </c>
      <c r="AN23" s="216"/>
    </row>
    <row r="24" spans="1:40" ht="97.2" customHeight="1" x14ac:dyDescent="0.3">
      <c r="A24" s="7" t="s">
        <v>97</v>
      </c>
      <c r="B24" s="62" t="s">
        <v>40</v>
      </c>
      <c r="C24" s="61" t="s">
        <v>98</v>
      </c>
      <c r="D24" s="7" t="s">
        <v>122</v>
      </c>
      <c r="E24" s="7" t="s">
        <v>117</v>
      </c>
      <c r="F24" s="7">
        <v>80111600</v>
      </c>
      <c r="G24" s="7" t="s">
        <v>123</v>
      </c>
      <c r="H24" s="77">
        <v>1</v>
      </c>
      <c r="I24" s="77">
        <v>1</v>
      </c>
      <c r="J24" s="77">
        <v>11</v>
      </c>
      <c r="K24" s="77">
        <v>1</v>
      </c>
      <c r="L24" s="7" t="s">
        <v>45</v>
      </c>
      <c r="M24" s="90" t="s">
        <v>119</v>
      </c>
      <c r="N24" s="8">
        <v>0</v>
      </c>
      <c r="O24" s="7">
        <v>0</v>
      </c>
      <c r="P24" s="7">
        <v>0</v>
      </c>
      <c r="Q24" s="7" t="s">
        <v>47</v>
      </c>
      <c r="R24" s="7" t="s">
        <v>48</v>
      </c>
      <c r="S24" s="90" t="s">
        <v>49</v>
      </c>
      <c r="T24" s="90">
        <v>3846666</v>
      </c>
      <c r="U24" s="68" t="s">
        <v>50</v>
      </c>
      <c r="V24" s="7" t="s">
        <v>51</v>
      </c>
      <c r="W24" s="7" t="s">
        <v>73</v>
      </c>
      <c r="X24" s="90" t="s">
        <v>124</v>
      </c>
      <c r="Y24" s="172">
        <v>2448094</v>
      </c>
      <c r="Z24" s="90"/>
      <c r="AA24" s="90"/>
      <c r="AB24" s="8">
        <f t="shared" si="0"/>
        <v>2448094</v>
      </c>
      <c r="AC24" s="174">
        <v>4021</v>
      </c>
      <c r="AD24" s="175">
        <v>2448094</v>
      </c>
      <c r="AE24" s="175">
        <f t="shared" si="2"/>
        <v>0</v>
      </c>
      <c r="AF24" s="259">
        <v>4021</v>
      </c>
      <c r="AG24" s="260">
        <v>44225</v>
      </c>
      <c r="AH24" s="261">
        <v>2448094</v>
      </c>
      <c r="AI24" s="261">
        <f t="shared" si="3"/>
        <v>0</v>
      </c>
      <c r="AJ24" s="259" t="s">
        <v>125</v>
      </c>
      <c r="AK24" s="259" t="s">
        <v>126</v>
      </c>
      <c r="AL24" s="275">
        <f>2098366+349728</f>
        <v>2448094</v>
      </c>
      <c r="AM24" s="7" t="s">
        <v>127</v>
      </c>
      <c r="AN24" s="216"/>
    </row>
    <row r="25" spans="1:40" ht="124.95" customHeight="1" x14ac:dyDescent="0.3">
      <c r="A25" s="7" t="s">
        <v>97</v>
      </c>
      <c r="B25" s="62" t="s">
        <v>40</v>
      </c>
      <c r="C25" s="61" t="s">
        <v>98</v>
      </c>
      <c r="D25" s="7" t="s">
        <v>122</v>
      </c>
      <c r="E25" s="7" t="s">
        <v>117</v>
      </c>
      <c r="F25" s="7">
        <v>80111600</v>
      </c>
      <c r="G25" s="7" t="s">
        <v>123</v>
      </c>
      <c r="H25" s="77">
        <v>1</v>
      </c>
      <c r="I25" s="77">
        <v>1</v>
      </c>
      <c r="J25" s="77">
        <v>11</v>
      </c>
      <c r="K25" s="77">
        <v>1</v>
      </c>
      <c r="L25" s="7" t="s">
        <v>45</v>
      </c>
      <c r="M25" s="90" t="s">
        <v>119</v>
      </c>
      <c r="N25" s="8">
        <v>0</v>
      </c>
      <c r="O25" s="7">
        <v>0</v>
      </c>
      <c r="P25" s="7">
        <v>0</v>
      </c>
      <c r="Q25" s="7" t="s">
        <v>47</v>
      </c>
      <c r="R25" s="7" t="s">
        <v>48</v>
      </c>
      <c r="S25" s="90" t="s">
        <v>49</v>
      </c>
      <c r="T25" s="90">
        <v>3846666</v>
      </c>
      <c r="U25" s="68" t="s">
        <v>50</v>
      </c>
      <c r="V25" s="7" t="s">
        <v>51</v>
      </c>
      <c r="W25" s="7" t="s">
        <v>73</v>
      </c>
      <c r="X25" s="90" t="s">
        <v>120</v>
      </c>
      <c r="Y25" s="172">
        <v>2448094</v>
      </c>
      <c r="Z25" s="90"/>
      <c r="AA25" s="90"/>
      <c r="AB25" s="8">
        <f t="shared" si="0"/>
        <v>2448094</v>
      </c>
      <c r="AC25" s="174">
        <v>4121</v>
      </c>
      <c r="AD25" s="175">
        <v>2448094</v>
      </c>
      <c r="AE25" s="175">
        <f t="shared" si="2"/>
        <v>0</v>
      </c>
      <c r="AF25" s="259">
        <v>4421</v>
      </c>
      <c r="AG25" s="260">
        <v>44228</v>
      </c>
      <c r="AH25" s="261">
        <v>2448094</v>
      </c>
      <c r="AI25" s="261">
        <f t="shared" si="3"/>
        <v>0</v>
      </c>
      <c r="AJ25" s="259" t="s">
        <v>128</v>
      </c>
      <c r="AK25" s="259" t="s">
        <v>129</v>
      </c>
      <c r="AL25" s="275">
        <f>2098366+349728</f>
        <v>2448094</v>
      </c>
      <c r="AM25" s="7" t="s">
        <v>127</v>
      </c>
      <c r="AN25" s="216"/>
    </row>
    <row r="26" spans="1:40" ht="97.2" customHeight="1" x14ac:dyDescent="0.3">
      <c r="A26" s="7" t="s">
        <v>97</v>
      </c>
      <c r="B26" s="62" t="s">
        <v>40</v>
      </c>
      <c r="C26" s="61" t="s">
        <v>98</v>
      </c>
      <c r="D26" s="7" t="s">
        <v>122</v>
      </c>
      <c r="E26" s="7" t="s">
        <v>117</v>
      </c>
      <c r="F26" s="7">
        <v>80111600</v>
      </c>
      <c r="G26" s="7" t="s">
        <v>123</v>
      </c>
      <c r="H26" s="77">
        <v>1</v>
      </c>
      <c r="I26" s="77">
        <v>1</v>
      </c>
      <c r="J26" s="77">
        <v>11</v>
      </c>
      <c r="K26" s="77">
        <v>1</v>
      </c>
      <c r="L26" s="7" t="s">
        <v>45</v>
      </c>
      <c r="M26" s="90" t="s">
        <v>119</v>
      </c>
      <c r="N26" s="8">
        <v>0</v>
      </c>
      <c r="O26" s="7">
        <v>0</v>
      </c>
      <c r="P26" s="7">
        <v>0</v>
      </c>
      <c r="Q26" s="7" t="s">
        <v>47</v>
      </c>
      <c r="R26" s="7" t="s">
        <v>48</v>
      </c>
      <c r="S26" s="90" t="s">
        <v>49</v>
      </c>
      <c r="T26" s="90">
        <v>3846666</v>
      </c>
      <c r="U26" s="68" t="s">
        <v>50</v>
      </c>
      <c r="V26" s="7" t="s">
        <v>51</v>
      </c>
      <c r="W26" s="7" t="s">
        <v>73</v>
      </c>
      <c r="X26" s="90" t="s">
        <v>130</v>
      </c>
      <c r="Y26" s="172">
        <v>2448094</v>
      </c>
      <c r="Z26" s="7"/>
      <c r="AA26" s="7"/>
      <c r="AB26" s="8">
        <f t="shared" si="0"/>
        <v>2448094</v>
      </c>
      <c r="AC26" s="174">
        <v>4221</v>
      </c>
      <c r="AD26" s="175">
        <v>2448094</v>
      </c>
      <c r="AE26" s="175">
        <f t="shared" si="2"/>
        <v>0</v>
      </c>
      <c r="AF26" s="259">
        <v>4121</v>
      </c>
      <c r="AG26" s="262">
        <v>44225</v>
      </c>
      <c r="AH26" s="261">
        <v>2448094</v>
      </c>
      <c r="AI26" s="261">
        <f t="shared" si="3"/>
        <v>0</v>
      </c>
      <c r="AJ26" s="259" t="s">
        <v>131</v>
      </c>
      <c r="AK26" s="259" t="s">
        <v>132</v>
      </c>
      <c r="AL26" s="275">
        <f>2098366+349728</f>
        <v>2448094</v>
      </c>
      <c r="AM26" s="7" t="s">
        <v>127</v>
      </c>
      <c r="AN26" s="216"/>
    </row>
    <row r="27" spans="1:40" ht="94.95" customHeight="1" x14ac:dyDescent="0.3">
      <c r="A27" s="7" t="s">
        <v>97</v>
      </c>
      <c r="B27" s="62" t="s">
        <v>40</v>
      </c>
      <c r="C27" s="61" t="s">
        <v>98</v>
      </c>
      <c r="D27" s="7" t="s">
        <v>122</v>
      </c>
      <c r="E27" s="7" t="s">
        <v>117</v>
      </c>
      <c r="F27" s="7">
        <v>80111600</v>
      </c>
      <c r="G27" s="7" t="s">
        <v>123</v>
      </c>
      <c r="H27" s="77">
        <v>1</v>
      </c>
      <c r="I27" s="77">
        <v>1</v>
      </c>
      <c r="J27" s="77">
        <v>11</v>
      </c>
      <c r="K27" s="77">
        <v>1</v>
      </c>
      <c r="L27" s="7" t="s">
        <v>45</v>
      </c>
      <c r="M27" s="7" t="s">
        <v>46</v>
      </c>
      <c r="N27" s="153">
        <f>1875812*11</f>
        <v>20633932</v>
      </c>
      <c r="O27" s="7">
        <v>0</v>
      </c>
      <c r="P27" s="7">
        <v>0</v>
      </c>
      <c r="Q27" s="7" t="s">
        <v>47</v>
      </c>
      <c r="R27" s="7" t="s">
        <v>48</v>
      </c>
      <c r="S27" s="90" t="s">
        <v>49</v>
      </c>
      <c r="T27" s="90">
        <v>3846666</v>
      </c>
      <c r="U27" s="68" t="s">
        <v>50</v>
      </c>
      <c r="V27" s="7" t="s">
        <v>51</v>
      </c>
      <c r="W27" s="7" t="s">
        <v>73</v>
      </c>
      <c r="X27" s="90" t="s">
        <v>124</v>
      </c>
      <c r="Y27" s="7"/>
      <c r="Z27" s="7"/>
      <c r="AA27" s="7"/>
      <c r="AB27" s="8">
        <f t="shared" si="0"/>
        <v>20633932</v>
      </c>
      <c r="AC27" s="174">
        <v>4021</v>
      </c>
      <c r="AD27" s="175">
        <v>20633932</v>
      </c>
      <c r="AE27" s="175">
        <f t="shared" si="2"/>
        <v>0</v>
      </c>
      <c r="AF27" s="259">
        <v>4021</v>
      </c>
      <c r="AG27" s="260">
        <v>44225</v>
      </c>
      <c r="AH27" s="261">
        <v>20633932</v>
      </c>
      <c r="AI27" s="261">
        <f t="shared" si="3"/>
        <v>0</v>
      </c>
      <c r="AJ27" s="259" t="s">
        <v>125</v>
      </c>
      <c r="AK27" s="259" t="s">
        <v>126</v>
      </c>
      <c r="AL27" s="275">
        <f>2098366+2098366+2098366+2098366+2098366+2098366+2098366+2098366+2098366+1748638</f>
        <v>20633932</v>
      </c>
      <c r="AM27" s="7"/>
      <c r="AN27" s="216"/>
    </row>
    <row r="28" spans="1:40" ht="103.2" customHeight="1" x14ac:dyDescent="0.3">
      <c r="A28" s="7" t="s">
        <v>97</v>
      </c>
      <c r="B28" s="62" t="s">
        <v>40</v>
      </c>
      <c r="C28" s="61" t="s">
        <v>98</v>
      </c>
      <c r="D28" s="7" t="s">
        <v>122</v>
      </c>
      <c r="E28" s="7" t="s">
        <v>117</v>
      </c>
      <c r="F28" s="7">
        <v>80111600</v>
      </c>
      <c r="G28" s="7" t="s">
        <v>123</v>
      </c>
      <c r="H28" s="77">
        <v>1</v>
      </c>
      <c r="I28" s="77">
        <v>1</v>
      </c>
      <c r="J28" s="77">
        <v>11</v>
      </c>
      <c r="K28" s="7">
        <v>1</v>
      </c>
      <c r="L28" s="7" t="s">
        <v>45</v>
      </c>
      <c r="M28" s="7" t="s">
        <v>46</v>
      </c>
      <c r="N28" s="153">
        <f t="shared" ref="N28:N29" si="7">1875812*11</f>
        <v>20633932</v>
      </c>
      <c r="O28" s="7">
        <v>0</v>
      </c>
      <c r="P28" s="7">
        <v>0</v>
      </c>
      <c r="Q28" s="7" t="s">
        <v>47</v>
      </c>
      <c r="R28" s="7" t="s">
        <v>48</v>
      </c>
      <c r="S28" s="90" t="s">
        <v>49</v>
      </c>
      <c r="T28" s="90">
        <v>3846666</v>
      </c>
      <c r="U28" s="68" t="s">
        <v>50</v>
      </c>
      <c r="V28" s="7" t="s">
        <v>51</v>
      </c>
      <c r="W28" s="7" t="s">
        <v>73</v>
      </c>
      <c r="X28" s="90" t="s">
        <v>120</v>
      </c>
      <c r="Y28" s="7"/>
      <c r="Z28" s="7"/>
      <c r="AA28" s="7"/>
      <c r="AB28" s="8">
        <f t="shared" si="0"/>
        <v>20633932</v>
      </c>
      <c r="AC28" s="174">
        <v>4121</v>
      </c>
      <c r="AD28" s="175">
        <v>20633932</v>
      </c>
      <c r="AE28" s="175">
        <f t="shared" si="2"/>
        <v>0</v>
      </c>
      <c r="AF28" s="259">
        <v>4421</v>
      </c>
      <c r="AG28" s="260">
        <v>44228</v>
      </c>
      <c r="AH28" s="261">
        <v>20633932</v>
      </c>
      <c r="AI28" s="261">
        <f t="shared" si="3"/>
        <v>0</v>
      </c>
      <c r="AJ28" s="259" t="s">
        <v>128</v>
      </c>
      <c r="AK28" s="259" t="s">
        <v>129</v>
      </c>
      <c r="AL28" s="275">
        <f>2098366+2098366+2098366+2098366+2098366+2098366+2098366+2098366+2098366+1748638</f>
        <v>20633932</v>
      </c>
      <c r="AM28" s="7"/>
      <c r="AN28" s="216"/>
    </row>
    <row r="29" spans="1:40" ht="69.599999999999994" customHeight="1" x14ac:dyDescent="0.3">
      <c r="A29" s="7" t="s">
        <v>97</v>
      </c>
      <c r="B29" s="62" t="s">
        <v>40</v>
      </c>
      <c r="C29" s="61" t="s">
        <v>98</v>
      </c>
      <c r="D29" s="7" t="s">
        <v>122</v>
      </c>
      <c r="E29" s="7" t="s">
        <v>117</v>
      </c>
      <c r="F29" s="7">
        <v>80111600</v>
      </c>
      <c r="G29" s="7" t="s">
        <v>123</v>
      </c>
      <c r="H29" s="77">
        <v>1</v>
      </c>
      <c r="I29" s="77">
        <v>1</v>
      </c>
      <c r="J29" s="77">
        <v>11</v>
      </c>
      <c r="K29" s="7">
        <v>1</v>
      </c>
      <c r="L29" s="7" t="s">
        <v>45</v>
      </c>
      <c r="M29" s="7" t="s">
        <v>46</v>
      </c>
      <c r="N29" s="153">
        <f t="shared" si="7"/>
        <v>20633932</v>
      </c>
      <c r="O29" s="7">
        <v>0</v>
      </c>
      <c r="P29" s="7">
        <v>0</v>
      </c>
      <c r="Q29" s="7" t="s">
        <v>47</v>
      </c>
      <c r="R29" s="7" t="s">
        <v>48</v>
      </c>
      <c r="S29" s="90" t="s">
        <v>49</v>
      </c>
      <c r="T29" s="90">
        <v>3846666</v>
      </c>
      <c r="U29" s="68" t="s">
        <v>50</v>
      </c>
      <c r="V29" s="7" t="s">
        <v>51</v>
      </c>
      <c r="W29" s="7" t="s">
        <v>73</v>
      </c>
      <c r="X29" s="90" t="s">
        <v>130</v>
      </c>
      <c r="Y29" s="90"/>
      <c r="Z29" s="90"/>
      <c r="AA29" s="90"/>
      <c r="AB29" s="8">
        <f t="shared" si="0"/>
        <v>20633932</v>
      </c>
      <c r="AC29" s="174">
        <v>4221</v>
      </c>
      <c r="AD29" s="175">
        <v>20633932</v>
      </c>
      <c r="AE29" s="175">
        <f t="shared" si="2"/>
        <v>0</v>
      </c>
      <c r="AF29" s="259">
        <v>4121</v>
      </c>
      <c r="AG29" s="260">
        <v>44225</v>
      </c>
      <c r="AH29" s="261">
        <v>20633932</v>
      </c>
      <c r="AI29" s="261">
        <f t="shared" si="3"/>
        <v>0</v>
      </c>
      <c r="AJ29" s="259" t="s">
        <v>131</v>
      </c>
      <c r="AK29" s="259" t="s">
        <v>132</v>
      </c>
      <c r="AL29" s="275">
        <f>2098366+2098366+2098366+2098366+2098366+2098366+2098366+2098366+2098366+1748638</f>
        <v>20633932</v>
      </c>
      <c r="AM29" s="7"/>
      <c r="AN29" s="216"/>
    </row>
    <row r="30" spans="1:40" ht="76.95" customHeight="1" x14ac:dyDescent="0.3">
      <c r="A30" s="7" t="s">
        <v>97</v>
      </c>
      <c r="B30" s="62" t="s">
        <v>40</v>
      </c>
      <c r="C30" s="61" t="s">
        <v>98</v>
      </c>
      <c r="D30" s="7" t="s">
        <v>122</v>
      </c>
      <c r="E30" s="7" t="s">
        <v>117</v>
      </c>
      <c r="F30" s="7">
        <v>80111600</v>
      </c>
      <c r="G30" s="7" t="s">
        <v>133</v>
      </c>
      <c r="H30" s="77">
        <v>1</v>
      </c>
      <c r="I30" s="77">
        <v>1</v>
      </c>
      <c r="J30" s="77">
        <v>11</v>
      </c>
      <c r="K30" s="7">
        <v>1</v>
      </c>
      <c r="L30" s="7" t="s">
        <v>45</v>
      </c>
      <c r="M30" s="7" t="s">
        <v>46</v>
      </c>
      <c r="N30" s="153">
        <f>3130298*11</f>
        <v>34433278</v>
      </c>
      <c r="O30" s="7">
        <v>0</v>
      </c>
      <c r="P30" s="7">
        <v>0</v>
      </c>
      <c r="Q30" s="7" t="s">
        <v>47</v>
      </c>
      <c r="R30" s="7" t="s">
        <v>48</v>
      </c>
      <c r="S30" s="90" t="s">
        <v>49</v>
      </c>
      <c r="T30" s="90">
        <v>3846666</v>
      </c>
      <c r="U30" s="68" t="s">
        <v>50</v>
      </c>
      <c r="V30" s="7" t="s">
        <v>51</v>
      </c>
      <c r="W30" s="7" t="s">
        <v>52</v>
      </c>
      <c r="X30" s="7" t="s">
        <v>134</v>
      </c>
      <c r="Y30" s="90"/>
      <c r="Z30" s="90"/>
      <c r="AA30" s="90"/>
      <c r="AB30" s="8">
        <f t="shared" si="0"/>
        <v>34433278</v>
      </c>
      <c r="AC30" s="174">
        <v>2221</v>
      </c>
      <c r="AD30" s="175">
        <v>34433278</v>
      </c>
      <c r="AE30" s="175">
        <f t="shared" si="2"/>
        <v>0</v>
      </c>
      <c r="AF30" s="259">
        <v>2421</v>
      </c>
      <c r="AG30" s="260">
        <v>44223</v>
      </c>
      <c r="AH30" s="261">
        <v>34433278</v>
      </c>
      <c r="AI30" s="261">
        <f t="shared" si="3"/>
        <v>0</v>
      </c>
      <c r="AJ30" s="259" t="s">
        <v>135</v>
      </c>
      <c r="AK30" s="259" t="s">
        <v>136</v>
      </c>
      <c r="AL30" s="275">
        <f>3130298+417373+3130298+3130298+3130298+3130298+3130298+3130298+3130298+3130298+3130298+2712925</f>
        <v>34433278</v>
      </c>
      <c r="AM30" s="7"/>
      <c r="AN30" s="216"/>
    </row>
    <row r="31" spans="1:40" ht="80.400000000000006" customHeight="1" x14ac:dyDescent="0.3">
      <c r="A31" s="7" t="s">
        <v>97</v>
      </c>
      <c r="B31" s="62" t="s">
        <v>40</v>
      </c>
      <c r="C31" s="61" t="s">
        <v>98</v>
      </c>
      <c r="D31" s="7" t="s">
        <v>137</v>
      </c>
      <c r="E31" s="7" t="s">
        <v>117</v>
      </c>
      <c r="F31" s="7">
        <v>80111600</v>
      </c>
      <c r="G31" s="7" t="s">
        <v>138</v>
      </c>
      <c r="H31" s="7">
        <v>1</v>
      </c>
      <c r="I31" s="7">
        <v>1</v>
      </c>
      <c r="J31" s="7">
        <v>11</v>
      </c>
      <c r="K31" s="7">
        <v>1</v>
      </c>
      <c r="L31" s="7" t="s">
        <v>45</v>
      </c>
      <c r="M31" s="7" t="s">
        <v>46</v>
      </c>
      <c r="N31" s="153">
        <f>3130298*11</f>
        <v>34433278</v>
      </c>
      <c r="O31" s="7">
        <v>0</v>
      </c>
      <c r="P31" s="7">
        <v>0</v>
      </c>
      <c r="Q31" s="7" t="s">
        <v>47</v>
      </c>
      <c r="R31" s="7" t="s">
        <v>48</v>
      </c>
      <c r="S31" s="90" t="s">
        <v>49</v>
      </c>
      <c r="T31" s="90">
        <v>3846666</v>
      </c>
      <c r="U31" s="68" t="s">
        <v>50</v>
      </c>
      <c r="V31" s="7" t="s">
        <v>51</v>
      </c>
      <c r="W31" s="7" t="s">
        <v>52</v>
      </c>
      <c r="X31" s="7" t="s">
        <v>134</v>
      </c>
      <c r="Y31" s="90"/>
      <c r="Z31" s="90"/>
      <c r="AA31" s="90"/>
      <c r="AB31" s="8">
        <f t="shared" si="0"/>
        <v>34433278</v>
      </c>
      <c r="AC31" s="174">
        <v>2121</v>
      </c>
      <c r="AD31" s="175">
        <v>34433278</v>
      </c>
      <c r="AE31" s="175">
        <f t="shared" si="2"/>
        <v>0</v>
      </c>
      <c r="AF31" s="259">
        <v>2521</v>
      </c>
      <c r="AG31" s="260">
        <v>44223</v>
      </c>
      <c r="AH31" s="261">
        <v>34433278</v>
      </c>
      <c r="AI31" s="261">
        <f t="shared" si="3"/>
        <v>0</v>
      </c>
      <c r="AJ31" s="259" t="s">
        <v>139</v>
      </c>
      <c r="AK31" s="259" t="s">
        <v>140</v>
      </c>
      <c r="AL31" s="275">
        <f>3130298+417373+3130298+3130298+3130298+3130298+3130298+3130298+3130298+3130298+3130298+2712925</f>
        <v>34433278</v>
      </c>
      <c r="AM31" s="7"/>
      <c r="AN31" s="216"/>
    </row>
    <row r="32" spans="1:40" s="276" customFormat="1" ht="104.4" customHeight="1" x14ac:dyDescent="0.3">
      <c r="A32" s="64" t="s">
        <v>97</v>
      </c>
      <c r="B32" s="268" t="s">
        <v>40</v>
      </c>
      <c r="C32" s="269" t="s">
        <v>98</v>
      </c>
      <c r="D32" s="64" t="s">
        <v>141</v>
      </c>
      <c r="E32" s="64" t="s">
        <v>142</v>
      </c>
      <c r="F32" s="64">
        <v>78102203</v>
      </c>
      <c r="G32" s="64" t="s">
        <v>143</v>
      </c>
      <c r="H32" s="64">
        <v>5</v>
      </c>
      <c r="I32" s="64">
        <v>5</v>
      </c>
      <c r="J32" s="64">
        <v>7</v>
      </c>
      <c r="K32" s="64">
        <v>1</v>
      </c>
      <c r="L32" s="64" t="s">
        <v>45</v>
      </c>
      <c r="M32" s="64" t="s">
        <v>46</v>
      </c>
      <c r="N32" s="270">
        <v>0</v>
      </c>
      <c r="O32" s="64">
        <v>0</v>
      </c>
      <c r="P32" s="64">
        <v>0</v>
      </c>
      <c r="Q32" s="64" t="s">
        <v>47</v>
      </c>
      <c r="R32" s="64" t="s">
        <v>48</v>
      </c>
      <c r="S32" s="87" t="s">
        <v>144</v>
      </c>
      <c r="T32" s="87">
        <v>3846666</v>
      </c>
      <c r="U32" s="284" t="s">
        <v>145</v>
      </c>
      <c r="V32" s="64" t="s">
        <v>51</v>
      </c>
      <c r="W32" s="64" t="s">
        <v>85</v>
      </c>
      <c r="X32" s="64" t="s">
        <v>146</v>
      </c>
      <c r="Y32" s="236">
        <f>4228894+249600+249600+313030+303158</f>
        <v>5344282</v>
      </c>
      <c r="Z32" s="236"/>
      <c r="AA32" s="87"/>
      <c r="AB32" s="271">
        <f t="shared" si="0"/>
        <v>5344282</v>
      </c>
      <c r="AC32" s="180">
        <v>11721</v>
      </c>
      <c r="AD32" s="175">
        <f>5344282-469300</f>
        <v>4874982</v>
      </c>
      <c r="AE32" s="175">
        <f t="shared" si="2"/>
        <v>469300</v>
      </c>
      <c r="AF32" s="272">
        <v>12921</v>
      </c>
      <c r="AG32" s="273" t="s">
        <v>147</v>
      </c>
      <c r="AH32" s="274">
        <f>5344282-469300</f>
        <v>4874982</v>
      </c>
      <c r="AI32" s="274">
        <f t="shared" si="3"/>
        <v>469300</v>
      </c>
      <c r="AJ32" s="272" t="s">
        <v>148</v>
      </c>
      <c r="AK32" s="272" t="s">
        <v>149</v>
      </c>
      <c r="AL32" s="275">
        <f>169100+469300+4236582</f>
        <v>4874982</v>
      </c>
      <c r="AM32" s="64" t="s">
        <v>798</v>
      </c>
      <c r="AN32" s="216"/>
    </row>
    <row r="33" spans="1:41" s="276" customFormat="1" ht="104.4" customHeight="1" x14ac:dyDescent="0.3">
      <c r="A33" s="64" t="s">
        <v>97</v>
      </c>
      <c r="B33" s="268" t="s">
        <v>40</v>
      </c>
      <c r="C33" s="269" t="s">
        <v>98</v>
      </c>
      <c r="D33" s="64" t="s">
        <v>141</v>
      </c>
      <c r="E33" s="64" t="s">
        <v>142</v>
      </c>
      <c r="F33" s="64">
        <v>78102203</v>
      </c>
      <c r="G33" s="64" t="s">
        <v>143</v>
      </c>
      <c r="H33" s="64">
        <v>9</v>
      </c>
      <c r="I33" s="64">
        <v>10</v>
      </c>
      <c r="J33" s="64">
        <v>3</v>
      </c>
      <c r="K33" s="64">
        <v>1</v>
      </c>
      <c r="L33" s="64" t="s">
        <v>45</v>
      </c>
      <c r="M33" s="64" t="s">
        <v>46</v>
      </c>
      <c r="N33" s="270">
        <v>0</v>
      </c>
      <c r="O33" s="64">
        <v>0</v>
      </c>
      <c r="P33" s="64">
        <v>0</v>
      </c>
      <c r="Q33" s="64" t="s">
        <v>47</v>
      </c>
      <c r="R33" s="64" t="s">
        <v>48</v>
      </c>
      <c r="S33" s="87" t="s">
        <v>144</v>
      </c>
      <c r="T33" s="87">
        <v>3846666</v>
      </c>
      <c r="U33" s="284" t="s">
        <v>145</v>
      </c>
      <c r="V33" s="64" t="s">
        <v>51</v>
      </c>
      <c r="W33" s="64" t="s">
        <v>85</v>
      </c>
      <c r="X33" s="64" t="s">
        <v>146</v>
      </c>
      <c r="Y33" s="236">
        <f>219106+3819602+191500+1137000+1002762+275000+4078+5350952</f>
        <v>12000000</v>
      </c>
      <c r="Z33" s="236">
        <v>6000000</v>
      </c>
      <c r="AA33" s="87"/>
      <c r="AB33" s="271">
        <f t="shared" si="0"/>
        <v>18000000</v>
      </c>
      <c r="AC33" s="180" t="s">
        <v>991</v>
      </c>
      <c r="AD33" s="175">
        <f>12000000+6000000</f>
        <v>18000000</v>
      </c>
      <c r="AE33" s="181">
        <f t="shared" si="2"/>
        <v>0</v>
      </c>
      <c r="AF33" s="272" t="s">
        <v>992</v>
      </c>
      <c r="AG33" s="273" t="s">
        <v>993</v>
      </c>
      <c r="AH33" s="274">
        <f>12000000+6000000</f>
        <v>18000000</v>
      </c>
      <c r="AI33" s="274">
        <f>+AB33-AH33</f>
        <v>0</v>
      </c>
      <c r="AJ33" s="272" t="s">
        <v>931</v>
      </c>
      <c r="AK33" s="272" t="s">
        <v>566</v>
      </c>
      <c r="AL33" s="275">
        <f>2495518+11762750</f>
        <v>14258268</v>
      </c>
      <c r="AM33" s="64" t="s">
        <v>946</v>
      </c>
      <c r="AN33" s="216"/>
    </row>
    <row r="34" spans="1:41" s="276" customFormat="1" ht="99.6" customHeight="1" x14ac:dyDescent="0.3">
      <c r="A34" s="64" t="s">
        <v>97</v>
      </c>
      <c r="B34" s="268" t="s">
        <v>40</v>
      </c>
      <c r="C34" s="269" t="s">
        <v>98</v>
      </c>
      <c r="D34" s="64" t="s">
        <v>141</v>
      </c>
      <c r="E34" s="64" t="s">
        <v>142</v>
      </c>
      <c r="F34" s="64">
        <v>78102203</v>
      </c>
      <c r="G34" s="64" t="s">
        <v>143</v>
      </c>
      <c r="H34" s="64">
        <v>5</v>
      </c>
      <c r="I34" s="64">
        <v>5</v>
      </c>
      <c r="J34" s="64">
        <v>7</v>
      </c>
      <c r="K34" s="64">
        <v>1</v>
      </c>
      <c r="L34" s="64" t="s">
        <v>45</v>
      </c>
      <c r="M34" s="64" t="s">
        <v>119</v>
      </c>
      <c r="N34" s="270">
        <v>0</v>
      </c>
      <c r="O34" s="64">
        <v>0</v>
      </c>
      <c r="P34" s="64">
        <v>0</v>
      </c>
      <c r="Q34" s="64" t="s">
        <v>47</v>
      </c>
      <c r="R34" s="64" t="s">
        <v>48</v>
      </c>
      <c r="S34" s="87" t="s">
        <v>144</v>
      </c>
      <c r="T34" s="87">
        <v>3846666</v>
      </c>
      <c r="U34" s="284" t="s">
        <v>145</v>
      </c>
      <c r="V34" s="64" t="s">
        <v>51</v>
      </c>
      <c r="W34" s="64" t="s">
        <v>85</v>
      </c>
      <c r="X34" s="64" t="s">
        <v>146</v>
      </c>
      <c r="Y34" s="236">
        <v>2655718</v>
      </c>
      <c r="Z34" s="87"/>
      <c r="AA34" s="87"/>
      <c r="AB34" s="271">
        <f t="shared" si="0"/>
        <v>2655718</v>
      </c>
      <c r="AC34" s="180">
        <v>11721</v>
      </c>
      <c r="AD34" s="175">
        <f>2655718-160200</f>
        <v>2495518</v>
      </c>
      <c r="AE34" s="175">
        <f t="shared" si="2"/>
        <v>160200</v>
      </c>
      <c r="AF34" s="272">
        <v>12921</v>
      </c>
      <c r="AG34" s="273" t="s">
        <v>147</v>
      </c>
      <c r="AH34" s="274">
        <f>2655718-160200</f>
        <v>2495518</v>
      </c>
      <c r="AI34" s="274">
        <f>+AB34-AH34</f>
        <v>160200</v>
      </c>
      <c r="AJ34" s="272" t="s">
        <v>148</v>
      </c>
      <c r="AK34" s="272" t="s">
        <v>149</v>
      </c>
      <c r="AL34" s="302"/>
      <c r="AM34" s="64" t="s">
        <v>62</v>
      </c>
      <c r="AN34" s="216"/>
    </row>
    <row r="35" spans="1:41" ht="113.25" customHeight="1" x14ac:dyDescent="0.3">
      <c r="A35" s="7" t="s">
        <v>97</v>
      </c>
      <c r="B35" s="62" t="s">
        <v>40</v>
      </c>
      <c r="C35" s="61" t="s">
        <v>98</v>
      </c>
      <c r="D35" s="7" t="s">
        <v>150</v>
      </c>
      <c r="E35" s="7" t="s">
        <v>151</v>
      </c>
      <c r="F35" s="7" t="s">
        <v>152</v>
      </c>
      <c r="G35" s="7" t="s">
        <v>153</v>
      </c>
      <c r="H35" s="58">
        <v>2</v>
      </c>
      <c r="I35" s="7">
        <v>2</v>
      </c>
      <c r="J35" s="7">
        <v>3</v>
      </c>
      <c r="K35" s="7">
        <v>1</v>
      </c>
      <c r="L35" s="7" t="s">
        <v>154</v>
      </c>
      <c r="M35" s="7" t="s">
        <v>46</v>
      </c>
      <c r="N35" s="153">
        <v>90000000</v>
      </c>
      <c r="O35" s="7">
        <v>0</v>
      </c>
      <c r="P35" s="7">
        <v>0</v>
      </c>
      <c r="Q35" s="7" t="s">
        <v>47</v>
      </c>
      <c r="R35" s="7" t="s">
        <v>48</v>
      </c>
      <c r="S35" s="90" t="s">
        <v>49</v>
      </c>
      <c r="T35" s="90">
        <v>3846666</v>
      </c>
      <c r="U35" s="68" t="s">
        <v>50</v>
      </c>
      <c r="V35" s="7" t="s">
        <v>51</v>
      </c>
      <c r="W35" s="7" t="s">
        <v>155</v>
      </c>
      <c r="X35" s="7" t="s">
        <v>156</v>
      </c>
      <c r="Y35" s="90"/>
      <c r="Z35" s="288">
        <f>9495009.1+16253924</f>
        <v>25748933.100000001</v>
      </c>
      <c r="AA35" s="235">
        <f>4228894+219106+9</f>
        <v>4448009</v>
      </c>
      <c r="AB35" s="8">
        <f t="shared" si="0"/>
        <v>111300924.09999999</v>
      </c>
      <c r="AC35" s="174" t="s">
        <v>925</v>
      </c>
      <c r="AD35" s="175">
        <f>85770712-218712+9495000+16253924</f>
        <v>111300924</v>
      </c>
      <c r="AE35" s="175">
        <f t="shared" si="2"/>
        <v>9.9999994039535522E-2</v>
      </c>
      <c r="AF35" s="259" t="s">
        <v>950</v>
      </c>
      <c r="AG35" s="260" t="s">
        <v>951</v>
      </c>
      <c r="AH35" s="261">
        <f>85552000+25748924</f>
        <v>111300924</v>
      </c>
      <c r="AI35" s="261">
        <f t="shared" ref="AI35" si="8">+AB35-AH35</f>
        <v>9.9999994039535522E-2</v>
      </c>
      <c r="AJ35" s="259" t="s">
        <v>889</v>
      </c>
      <c r="AK35" s="259" t="s">
        <v>550</v>
      </c>
      <c r="AL35" s="275">
        <f>85552000+25748924</f>
        <v>111300924</v>
      </c>
      <c r="AM35" s="232" t="s">
        <v>947</v>
      </c>
      <c r="AN35" s="216"/>
    </row>
    <row r="36" spans="1:41" ht="120" customHeight="1" x14ac:dyDescent="0.3">
      <c r="A36" s="7" t="s">
        <v>97</v>
      </c>
      <c r="B36" s="62" t="s">
        <v>40</v>
      </c>
      <c r="C36" s="61" t="s">
        <v>98</v>
      </c>
      <c r="D36" s="7" t="s">
        <v>150</v>
      </c>
      <c r="E36" s="7" t="s">
        <v>151</v>
      </c>
      <c r="F36" s="7" t="s">
        <v>152</v>
      </c>
      <c r="G36" s="7" t="s">
        <v>153</v>
      </c>
      <c r="H36" s="58">
        <v>2</v>
      </c>
      <c r="I36" s="7">
        <v>2</v>
      </c>
      <c r="J36" s="7">
        <v>3</v>
      </c>
      <c r="K36" s="7">
        <v>1</v>
      </c>
      <c r="L36" s="7" t="s">
        <v>154</v>
      </c>
      <c r="M36" s="7" t="s">
        <v>119</v>
      </c>
      <c r="N36" s="153">
        <v>30000000</v>
      </c>
      <c r="O36" s="7">
        <v>0</v>
      </c>
      <c r="P36" s="7">
        <v>0</v>
      </c>
      <c r="Q36" s="7" t="s">
        <v>47</v>
      </c>
      <c r="R36" s="7" t="s">
        <v>48</v>
      </c>
      <c r="S36" s="90" t="s">
        <v>49</v>
      </c>
      <c r="T36" s="90">
        <v>3846666</v>
      </c>
      <c r="U36" s="68" t="s">
        <v>50</v>
      </c>
      <c r="V36" s="7" t="s">
        <v>51</v>
      </c>
      <c r="W36" s="7" t="s">
        <v>155</v>
      </c>
      <c r="X36" s="7" t="s">
        <v>156</v>
      </c>
      <c r="Y36" s="90"/>
      <c r="Z36" s="235">
        <f>7094336+5000000</f>
        <v>12094336</v>
      </c>
      <c r="AA36" s="90"/>
      <c r="AB36" s="8">
        <f t="shared" si="0"/>
        <v>42094336</v>
      </c>
      <c r="AC36" s="174">
        <v>20221</v>
      </c>
      <c r="AD36" s="175">
        <f>7094336+5000000-260</f>
        <v>12094076</v>
      </c>
      <c r="AE36" s="175">
        <f t="shared" si="2"/>
        <v>30000260</v>
      </c>
      <c r="AF36" s="259">
        <v>23321</v>
      </c>
      <c r="AG36" s="260">
        <v>44490</v>
      </c>
      <c r="AH36" s="261">
        <f>12094336-260</f>
        <v>12094076</v>
      </c>
      <c r="AI36" s="261">
        <f t="shared" si="3"/>
        <v>30000260</v>
      </c>
      <c r="AJ36" s="259" t="s">
        <v>889</v>
      </c>
      <c r="AK36" s="259" t="s">
        <v>550</v>
      </c>
      <c r="AL36" s="275">
        <v>12094076</v>
      </c>
      <c r="AM36" s="232" t="s">
        <v>946</v>
      </c>
      <c r="AN36" s="216"/>
    </row>
    <row r="37" spans="1:41" ht="113.25" customHeight="1" x14ac:dyDescent="0.3">
      <c r="A37" s="7" t="s">
        <v>97</v>
      </c>
      <c r="B37" s="62" t="s">
        <v>40</v>
      </c>
      <c r="C37" s="61" t="s">
        <v>98</v>
      </c>
      <c r="D37" s="7" t="s">
        <v>157</v>
      </c>
      <c r="E37" s="7" t="s">
        <v>151</v>
      </c>
      <c r="F37" s="7">
        <v>82121901</v>
      </c>
      <c r="G37" s="7" t="s">
        <v>158</v>
      </c>
      <c r="H37" s="7">
        <v>1</v>
      </c>
      <c r="I37" s="7">
        <v>1</v>
      </c>
      <c r="J37" s="7" t="s">
        <v>159</v>
      </c>
      <c r="K37" s="7">
        <v>0</v>
      </c>
      <c r="L37" s="7" t="s">
        <v>45</v>
      </c>
      <c r="M37" s="7" t="s">
        <v>46</v>
      </c>
      <c r="N37" s="153">
        <f>2496000*11.5</f>
        <v>28704000</v>
      </c>
      <c r="O37" s="7">
        <v>0</v>
      </c>
      <c r="P37" s="7">
        <v>0</v>
      </c>
      <c r="Q37" s="7" t="s">
        <v>47</v>
      </c>
      <c r="R37" s="7" t="s">
        <v>48</v>
      </c>
      <c r="S37" s="90" t="s">
        <v>49</v>
      </c>
      <c r="T37" s="90">
        <v>3846666</v>
      </c>
      <c r="U37" s="68" t="s">
        <v>50</v>
      </c>
      <c r="V37" s="7" t="s">
        <v>51</v>
      </c>
      <c r="W37" s="7" t="s">
        <v>73</v>
      </c>
      <c r="X37" s="7" t="s">
        <v>160</v>
      </c>
      <c r="Y37" s="90"/>
      <c r="Z37" s="90"/>
      <c r="AA37" s="235">
        <v>249600</v>
      </c>
      <c r="AB37" s="8">
        <f t="shared" si="0"/>
        <v>28454400</v>
      </c>
      <c r="AC37" s="174">
        <v>621</v>
      </c>
      <c r="AD37" s="175">
        <f>28704000-249600</f>
        <v>28454400</v>
      </c>
      <c r="AE37" s="175">
        <f t="shared" si="2"/>
        <v>0</v>
      </c>
      <c r="AF37" s="259">
        <v>921</v>
      </c>
      <c r="AG37" s="260">
        <v>44215</v>
      </c>
      <c r="AH37" s="261">
        <v>28454400</v>
      </c>
      <c r="AI37" s="261">
        <f t="shared" si="3"/>
        <v>0</v>
      </c>
      <c r="AJ37" s="259" t="s">
        <v>161</v>
      </c>
      <c r="AK37" s="259" t="s">
        <v>162</v>
      </c>
      <c r="AL37" s="275">
        <f>2496000+998400+2496000+2496000+2496000+2496000+2496000+2496000+2496000+2496000+2496000+2496000</f>
        <v>28454400</v>
      </c>
      <c r="AM37" s="7" t="s">
        <v>62</v>
      </c>
      <c r="AN37" s="216"/>
    </row>
    <row r="38" spans="1:41" ht="113.25" customHeight="1" x14ac:dyDescent="0.3">
      <c r="A38" s="7" t="s">
        <v>97</v>
      </c>
      <c r="B38" s="62" t="s">
        <v>40</v>
      </c>
      <c r="C38" s="61" t="s">
        <v>98</v>
      </c>
      <c r="D38" s="7" t="s">
        <v>157</v>
      </c>
      <c r="E38" s="7" t="s">
        <v>151</v>
      </c>
      <c r="F38" s="7">
        <v>82121901</v>
      </c>
      <c r="G38" s="7" t="s">
        <v>163</v>
      </c>
      <c r="H38" s="7">
        <v>1</v>
      </c>
      <c r="I38" s="7">
        <v>1</v>
      </c>
      <c r="J38" s="7" t="s">
        <v>159</v>
      </c>
      <c r="K38" s="7">
        <v>0</v>
      </c>
      <c r="L38" s="7" t="s">
        <v>45</v>
      </c>
      <c r="M38" s="7" t="s">
        <v>46</v>
      </c>
      <c r="N38" s="153">
        <f>2496000*11.5</f>
        <v>28704000</v>
      </c>
      <c r="O38" s="7">
        <v>0</v>
      </c>
      <c r="P38" s="7">
        <v>0</v>
      </c>
      <c r="Q38" s="7" t="s">
        <v>47</v>
      </c>
      <c r="R38" s="7" t="s">
        <v>48</v>
      </c>
      <c r="S38" s="90" t="s">
        <v>49</v>
      </c>
      <c r="T38" s="90">
        <v>3846666</v>
      </c>
      <c r="U38" s="68" t="s">
        <v>50</v>
      </c>
      <c r="V38" s="7" t="s">
        <v>51</v>
      </c>
      <c r="W38" s="7" t="s">
        <v>73</v>
      </c>
      <c r="X38" s="7" t="s">
        <v>160</v>
      </c>
      <c r="Y38" s="90"/>
      <c r="Z38" s="90"/>
      <c r="AA38" s="235">
        <v>249600</v>
      </c>
      <c r="AB38" s="8">
        <f t="shared" si="0"/>
        <v>28454400</v>
      </c>
      <c r="AC38" s="174">
        <v>721</v>
      </c>
      <c r="AD38" s="175">
        <f>28704000-249600</f>
        <v>28454400</v>
      </c>
      <c r="AE38" s="175">
        <f t="shared" si="2"/>
        <v>0</v>
      </c>
      <c r="AF38" s="259">
        <v>1021</v>
      </c>
      <c r="AG38" s="260">
        <v>44215</v>
      </c>
      <c r="AH38" s="261">
        <v>28454400</v>
      </c>
      <c r="AI38" s="261">
        <f t="shared" si="3"/>
        <v>0</v>
      </c>
      <c r="AJ38" s="259" t="s">
        <v>164</v>
      </c>
      <c r="AK38" s="259" t="s">
        <v>165</v>
      </c>
      <c r="AL38" s="275">
        <f>2496000+998400+2496000+2496000+2496000+2496000+2496000+2496000+2496000+2496000+2496000+2496000</f>
        <v>28454400</v>
      </c>
      <c r="AM38" s="7" t="s">
        <v>62</v>
      </c>
      <c r="AN38" s="216"/>
    </row>
    <row r="39" spans="1:41" ht="86.4" customHeight="1" x14ac:dyDescent="0.3">
      <c r="A39" s="7" t="s">
        <v>97</v>
      </c>
      <c r="B39" s="62" t="s">
        <v>40</v>
      </c>
      <c r="C39" s="61" t="s">
        <v>98</v>
      </c>
      <c r="D39" s="7" t="s">
        <v>157</v>
      </c>
      <c r="E39" s="7" t="s">
        <v>151</v>
      </c>
      <c r="F39" s="7">
        <v>82121901</v>
      </c>
      <c r="G39" s="7" t="s">
        <v>166</v>
      </c>
      <c r="H39" s="7">
        <v>1</v>
      </c>
      <c r="I39" s="7">
        <v>1</v>
      </c>
      <c r="J39" s="7">
        <v>11</v>
      </c>
      <c r="K39" s="7">
        <v>1</v>
      </c>
      <c r="L39" s="7" t="s">
        <v>45</v>
      </c>
      <c r="M39" s="7" t="s">
        <v>46</v>
      </c>
      <c r="N39" s="153">
        <f>1600000*11</f>
        <v>17600000</v>
      </c>
      <c r="O39" s="7">
        <v>0</v>
      </c>
      <c r="P39" s="7">
        <v>0</v>
      </c>
      <c r="Q39" s="7" t="s">
        <v>47</v>
      </c>
      <c r="R39" s="7" t="s">
        <v>48</v>
      </c>
      <c r="S39" s="90" t="s">
        <v>49</v>
      </c>
      <c r="T39" s="90">
        <v>3846666</v>
      </c>
      <c r="U39" s="68" t="s">
        <v>50</v>
      </c>
      <c r="V39" s="7" t="s">
        <v>51</v>
      </c>
      <c r="W39" s="7" t="s">
        <v>73</v>
      </c>
      <c r="X39" s="7" t="s">
        <v>160</v>
      </c>
      <c r="Y39" s="90"/>
      <c r="Z39" s="90"/>
      <c r="AA39" s="90"/>
      <c r="AB39" s="8">
        <f t="shared" si="0"/>
        <v>17600000</v>
      </c>
      <c r="AC39" s="174">
        <v>1821</v>
      </c>
      <c r="AD39" s="175">
        <v>17600000</v>
      </c>
      <c r="AE39" s="175">
        <f t="shared" si="2"/>
        <v>0</v>
      </c>
      <c r="AF39" s="259">
        <v>2921</v>
      </c>
      <c r="AG39" s="260">
        <v>44225</v>
      </c>
      <c r="AH39" s="261">
        <v>17600000</v>
      </c>
      <c r="AI39" s="261">
        <f t="shared" si="3"/>
        <v>0</v>
      </c>
      <c r="AJ39" s="259" t="s">
        <v>167</v>
      </c>
      <c r="AK39" s="259" t="s">
        <v>168</v>
      </c>
      <c r="AL39" s="275">
        <f>1600000+1600000+1600000+1600000+1600000+160000+1600000+1600000+1600000+1600000+1600000+1440000</f>
        <v>17600000</v>
      </c>
      <c r="AM39" s="7"/>
      <c r="AN39" s="216"/>
      <c r="AO39" s="5">
        <v>1440000</v>
      </c>
    </row>
    <row r="40" spans="1:41" ht="113.25" customHeight="1" x14ac:dyDescent="0.3">
      <c r="A40" s="7" t="s">
        <v>97</v>
      </c>
      <c r="B40" s="62" t="s">
        <v>40</v>
      </c>
      <c r="C40" s="61" t="s">
        <v>98</v>
      </c>
      <c r="D40" s="7" t="s">
        <v>157</v>
      </c>
      <c r="E40" s="7" t="s">
        <v>151</v>
      </c>
      <c r="F40" s="7" t="s">
        <v>169</v>
      </c>
      <c r="G40" s="7" t="s">
        <v>170</v>
      </c>
      <c r="H40" s="7">
        <v>1</v>
      </c>
      <c r="I40" s="7">
        <v>1</v>
      </c>
      <c r="J40" s="7" t="s">
        <v>159</v>
      </c>
      <c r="K40" s="7">
        <v>0</v>
      </c>
      <c r="L40" s="7" t="s">
        <v>45</v>
      </c>
      <c r="M40" s="7" t="s">
        <v>46</v>
      </c>
      <c r="N40" s="153">
        <f>3130298*11.5</f>
        <v>35998427</v>
      </c>
      <c r="O40" s="7">
        <v>0</v>
      </c>
      <c r="P40" s="7">
        <v>0</v>
      </c>
      <c r="Q40" s="7" t="s">
        <v>47</v>
      </c>
      <c r="R40" s="7" t="s">
        <v>48</v>
      </c>
      <c r="S40" s="90" t="s">
        <v>49</v>
      </c>
      <c r="T40" s="90">
        <v>3846666</v>
      </c>
      <c r="U40" s="68" t="s">
        <v>50</v>
      </c>
      <c r="V40" s="7" t="s">
        <v>51</v>
      </c>
      <c r="W40" s="7" t="s">
        <v>52</v>
      </c>
      <c r="X40" s="7" t="s">
        <v>160</v>
      </c>
      <c r="Y40" s="90"/>
      <c r="Z40" s="90"/>
      <c r="AA40" s="235">
        <v>313030</v>
      </c>
      <c r="AB40" s="8">
        <f t="shared" si="0"/>
        <v>35685397</v>
      </c>
      <c r="AC40" s="174">
        <v>821</v>
      </c>
      <c r="AD40" s="175">
        <f>35998427-313030</f>
        <v>35685397</v>
      </c>
      <c r="AE40" s="175">
        <f t="shared" si="2"/>
        <v>0</v>
      </c>
      <c r="AF40" s="259">
        <v>1121</v>
      </c>
      <c r="AG40" s="260">
        <v>44215</v>
      </c>
      <c r="AH40" s="261">
        <v>35685397</v>
      </c>
      <c r="AI40" s="261">
        <f t="shared" si="3"/>
        <v>0</v>
      </c>
      <c r="AJ40" s="259" t="s">
        <v>171</v>
      </c>
      <c r="AK40" s="259" t="s">
        <v>172</v>
      </c>
      <c r="AL40" s="275">
        <f>3130298+1252119+3130298+3130298+3130298+3130298+3130298+3130298+3130298+3130298+3130298+3130298</f>
        <v>35685397</v>
      </c>
      <c r="AM40" s="7" t="s">
        <v>62</v>
      </c>
      <c r="AN40" s="216"/>
    </row>
    <row r="41" spans="1:41" ht="109.2" customHeight="1" x14ac:dyDescent="0.3">
      <c r="A41" s="7" t="s">
        <v>97</v>
      </c>
      <c r="B41" s="62" t="s">
        <v>40</v>
      </c>
      <c r="C41" s="61" t="s">
        <v>98</v>
      </c>
      <c r="D41" s="7" t="s">
        <v>157</v>
      </c>
      <c r="E41" s="7" t="s">
        <v>151</v>
      </c>
      <c r="F41" s="7" t="s">
        <v>173</v>
      </c>
      <c r="G41" s="7" t="s">
        <v>174</v>
      </c>
      <c r="H41" s="7">
        <v>1</v>
      </c>
      <c r="I41" s="7">
        <v>1</v>
      </c>
      <c r="J41" s="7">
        <v>11</v>
      </c>
      <c r="K41" s="7">
        <v>1</v>
      </c>
      <c r="L41" s="7" t="s">
        <v>45</v>
      </c>
      <c r="M41" s="7" t="s">
        <v>46</v>
      </c>
      <c r="N41" s="153">
        <f>2550000*11</f>
        <v>28050000</v>
      </c>
      <c r="O41" s="7">
        <v>0</v>
      </c>
      <c r="P41" s="7">
        <v>0</v>
      </c>
      <c r="Q41" s="7" t="s">
        <v>47</v>
      </c>
      <c r="R41" s="7" t="s">
        <v>48</v>
      </c>
      <c r="S41" s="90" t="s">
        <v>49</v>
      </c>
      <c r="T41" s="90">
        <v>3846666</v>
      </c>
      <c r="U41" s="68" t="s">
        <v>50</v>
      </c>
      <c r="V41" s="7" t="s">
        <v>51</v>
      </c>
      <c r="W41" s="7" t="s">
        <v>73</v>
      </c>
      <c r="X41" s="7" t="s">
        <v>160</v>
      </c>
      <c r="Y41" s="90"/>
      <c r="Z41" s="90"/>
      <c r="AA41" s="90"/>
      <c r="AB41" s="8">
        <f t="shared" si="0"/>
        <v>28050000</v>
      </c>
      <c r="AC41" s="174">
        <v>2021</v>
      </c>
      <c r="AD41" s="175">
        <v>28050000</v>
      </c>
      <c r="AE41" s="175">
        <f t="shared" si="2"/>
        <v>0</v>
      </c>
      <c r="AF41" s="259">
        <v>3021</v>
      </c>
      <c r="AG41" s="260">
        <v>44225</v>
      </c>
      <c r="AH41" s="261">
        <v>28050000</v>
      </c>
      <c r="AI41" s="261">
        <f t="shared" si="3"/>
        <v>0</v>
      </c>
      <c r="AJ41" s="259" t="s">
        <v>175</v>
      </c>
      <c r="AK41" s="259" t="s">
        <v>952</v>
      </c>
      <c r="AL41" s="275">
        <f>2550000+2550000+2550000+2550000+2550000+2550000+2550000+1275000+1275000+2550000+2550000+2550000</f>
        <v>28050000</v>
      </c>
      <c r="AM41" s="7"/>
      <c r="AN41" s="216"/>
    </row>
    <row r="42" spans="1:41" ht="113.25" customHeight="1" x14ac:dyDescent="0.3">
      <c r="A42" s="7" t="s">
        <v>97</v>
      </c>
      <c r="B42" s="62" t="s">
        <v>40</v>
      </c>
      <c r="C42" s="61" t="s">
        <v>98</v>
      </c>
      <c r="D42" s="7" t="s">
        <v>157</v>
      </c>
      <c r="E42" s="7" t="s">
        <v>151</v>
      </c>
      <c r="F42" s="7" t="s">
        <v>173</v>
      </c>
      <c r="G42" s="90" t="s">
        <v>176</v>
      </c>
      <c r="H42" s="7">
        <v>1</v>
      </c>
      <c r="I42" s="7">
        <v>1</v>
      </c>
      <c r="J42" s="7" t="s">
        <v>159</v>
      </c>
      <c r="K42" s="7">
        <v>0</v>
      </c>
      <c r="L42" s="7" t="s">
        <v>45</v>
      </c>
      <c r="M42" s="7" t="s">
        <v>46</v>
      </c>
      <c r="N42" s="153">
        <f>3031580*11.5</f>
        <v>34863170</v>
      </c>
      <c r="O42" s="7">
        <v>0</v>
      </c>
      <c r="P42" s="7">
        <v>0</v>
      </c>
      <c r="Q42" s="7" t="s">
        <v>47</v>
      </c>
      <c r="R42" s="7" t="s">
        <v>48</v>
      </c>
      <c r="S42" s="90" t="s">
        <v>49</v>
      </c>
      <c r="T42" s="90">
        <v>3846666</v>
      </c>
      <c r="U42" s="68" t="s">
        <v>50</v>
      </c>
      <c r="V42" s="7" t="s">
        <v>51</v>
      </c>
      <c r="W42" s="7" t="s">
        <v>52</v>
      </c>
      <c r="X42" s="7" t="s">
        <v>160</v>
      </c>
      <c r="Y42" s="90"/>
      <c r="Z42" s="90"/>
      <c r="AA42" s="235">
        <v>303158</v>
      </c>
      <c r="AB42" s="8">
        <f t="shared" ref="AB42:AB86" si="9">+N42+Y42+Z42-AA42</f>
        <v>34560012</v>
      </c>
      <c r="AC42" s="174">
        <v>521</v>
      </c>
      <c r="AD42" s="175">
        <f>34863170-303158</f>
        <v>34560012</v>
      </c>
      <c r="AE42" s="175">
        <f t="shared" si="2"/>
        <v>0</v>
      </c>
      <c r="AF42" s="259">
        <v>821</v>
      </c>
      <c r="AG42" s="260">
        <v>44215</v>
      </c>
      <c r="AH42" s="261">
        <v>34560012</v>
      </c>
      <c r="AI42" s="261">
        <f t="shared" si="3"/>
        <v>0</v>
      </c>
      <c r="AJ42" s="259" t="s">
        <v>177</v>
      </c>
      <c r="AK42" s="259" t="s">
        <v>178</v>
      </c>
      <c r="AL42" s="275">
        <f>3031580+1212632+3031580+2526317+505263+3031580+3031580+3031580+3031580+3031580+3031580+3031580+3031580</f>
        <v>34560012</v>
      </c>
      <c r="AM42" s="7" t="s">
        <v>62</v>
      </c>
      <c r="AN42" s="216"/>
    </row>
    <row r="43" spans="1:41" ht="113.25" customHeight="1" x14ac:dyDescent="0.3">
      <c r="A43" s="7" t="s">
        <v>97</v>
      </c>
      <c r="B43" s="62" t="s">
        <v>40</v>
      </c>
      <c r="C43" s="61" t="s">
        <v>98</v>
      </c>
      <c r="D43" s="7" t="s">
        <v>157</v>
      </c>
      <c r="E43" s="7" t="s">
        <v>151</v>
      </c>
      <c r="F43" s="7">
        <v>82121901</v>
      </c>
      <c r="G43" s="90" t="s">
        <v>179</v>
      </c>
      <c r="H43" s="7">
        <v>7</v>
      </c>
      <c r="I43" s="7">
        <v>7</v>
      </c>
      <c r="J43" s="7">
        <v>1</v>
      </c>
      <c r="K43" s="7">
        <v>1</v>
      </c>
      <c r="L43" s="7" t="s">
        <v>45</v>
      </c>
      <c r="M43" s="7" t="s">
        <v>46</v>
      </c>
      <c r="N43" s="153">
        <f>1600000*6</f>
        <v>9600000</v>
      </c>
      <c r="O43" s="7">
        <v>0</v>
      </c>
      <c r="P43" s="7">
        <v>0</v>
      </c>
      <c r="Q43" s="7" t="s">
        <v>47</v>
      </c>
      <c r="R43" s="7" t="s">
        <v>48</v>
      </c>
      <c r="S43" s="90" t="s">
        <v>49</v>
      </c>
      <c r="T43" s="90">
        <v>3846666</v>
      </c>
      <c r="U43" s="68" t="s">
        <v>50</v>
      </c>
      <c r="V43" s="7" t="s">
        <v>51</v>
      </c>
      <c r="W43" s="7" t="s">
        <v>73</v>
      </c>
      <c r="X43" s="7" t="s">
        <v>160</v>
      </c>
      <c r="Y43" s="90"/>
      <c r="Z43" s="90"/>
      <c r="AA43" s="90"/>
      <c r="AB43" s="8">
        <f t="shared" si="9"/>
        <v>9600000</v>
      </c>
      <c r="AC43" s="174" t="s">
        <v>945</v>
      </c>
      <c r="AD43" s="175">
        <f>3110000+4890000+1600000-1630000</f>
        <v>7970000</v>
      </c>
      <c r="AE43" s="175">
        <f t="shared" si="2"/>
        <v>1630000</v>
      </c>
      <c r="AF43" s="259" t="s">
        <v>966</v>
      </c>
      <c r="AG43" s="260" t="s">
        <v>967</v>
      </c>
      <c r="AH43" s="261">
        <f>1630000+1600000+1555000+1555000+1630000</f>
        <v>7970000</v>
      </c>
      <c r="AI43" s="261">
        <f t="shared" si="3"/>
        <v>1630000</v>
      </c>
      <c r="AJ43" s="261" t="s">
        <v>969</v>
      </c>
      <c r="AK43" s="259" t="s">
        <v>968</v>
      </c>
      <c r="AL43" s="275">
        <f>1555000+1630000+1600000+1630000+1555000</f>
        <v>7970000</v>
      </c>
      <c r="AM43" s="232"/>
      <c r="AN43" s="216"/>
    </row>
    <row r="44" spans="1:41" ht="113.25" customHeight="1" x14ac:dyDescent="0.3">
      <c r="A44" s="7" t="s">
        <v>97</v>
      </c>
      <c r="B44" s="62" t="s">
        <v>40</v>
      </c>
      <c r="C44" s="61" t="s">
        <v>98</v>
      </c>
      <c r="D44" s="7" t="s">
        <v>157</v>
      </c>
      <c r="E44" s="7" t="s">
        <v>151</v>
      </c>
      <c r="F44" s="90" t="s">
        <v>806</v>
      </c>
      <c r="G44" s="90" t="s">
        <v>807</v>
      </c>
      <c r="H44" s="7">
        <v>6</v>
      </c>
      <c r="I44" s="7">
        <v>7</v>
      </c>
      <c r="J44" s="7" t="s">
        <v>824</v>
      </c>
      <c r="K44" s="7">
        <v>1</v>
      </c>
      <c r="L44" s="7" t="s">
        <v>823</v>
      </c>
      <c r="M44" s="7" t="s">
        <v>46</v>
      </c>
      <c r="N44" s="153">
        <f>50591634-21700000</f>
        <v>28891634</v>
      </c>
      <c r="O44" s="7">
        <v>0</v>
      </c>
      <c r="P44" s="7">
        <v>0</v>
      </c>
      <c r="Q44" s="7" t="s">
        <v>47</v>
      </c>
      <c r="R44" s="7" t="s">
        <v>48</v>
      </c>
      <c r="S44" s="90" t="s">
        <v>49</v>
      </c>
      <c r="T44" s="90">
        <v>3846666</v>
      </c>
      <c r="U44" s="68" t="s">
        <v>50</v>
      </c>
      <c r="V44" s="7" t="s">
        <v>51</v>
      </c>
      <c r="W44" s="7" t="s">
        <v>155</v>
      </c>
      <c r="X44" s="7" t="s">
        <v>160</v>
      </c>
      <c r="Y44" s="90"/>
      <c r="Z44" s="90"/>
      <c r="AA44" s="235">
        <f>4613242+0.1</f>
        <v>4613242.0999999996</v>
      </c>
      <c r="AB44" s="8">
        <f t="shared" si="9"/>
        <v>24278391.899999999</v>
      </c>
      <c r="AC44" s="174">
        <v>15621</v>
      </c>
      <c r="AD44" s="175">
        <v>24278391.899999999</v>
      </c>
      <c r="AE44" s="175">
        <f t="shared" si="2"/>
        <v>0</v>
      </c>
      <c r="AF44" s="259">
        <v>17121</v>
      </c>
      <c r="AG44" s="260">
        <v>44425</v>
      </c>
      <c r="AH44" s="261">
        <v>24278391.899999999</v>
      </c>
      <c r="AI44" s="261">
        <f t="shared" si="3"/>
        <v>0</v>
      </c>
      <c r="AJ44" s="259" t="s">
        <v>859</v>
      </c>
      <c r="AK44" s="259" t="s">
        <v>858</v>
      </c>
      <c r="AL44" s="308">
        <v>24278391.899999999</v>
      </c>
      <c r="AM44" s="7" t="s">
        <v>798</v>
      </c>
      <c r="AN44" s="216"/>
    </row>
    <row r="45" spans="1:41" ht="113.25" customHeight="1" x14ac:dyDescent="0.3">
      <c r="A45" s="7" t="s">
        <v>97</v>
      </c>
      <c r="B45" s="62" t="s">
        <v>40</v>
      </c>
      <c r="C45" s="61" t="s">
        <v>98</v>
      </c>
      <c r="D45" s="7" t="s">
        <v>157</v>
      </c>
      <c r="E45" s="7" t="s">
        <v>151</v>
      </c>
      <c r="F45" s="7" t="s">
        <v>180</v>
      </c>
      <c r="G45" s="90" t="s">
        <v>181</v>
      </c>
      <c r="H45" s="7">
        <v>2</v>
      </c>
      <c r="I45" s="7">
        <v>2</v>
      </c>
      <c r="J45" s="7">
        <v>2</v>
      </c>
      <c r="K45" s="7">
        <v>1</v>
      </c>
      <c r="L45" s="7" t="s">
        <v>154</v>
      </c>
      <c r="M45" s="7" t="s">
        <v>46</v>
      </c>
      <c r="N45" s="153">
        <v>45000000</v>
      </c>
      <c r="O45" s="7">
        <v>0</v>
      </c>
      <c r="P45" s="7">
        <v>0</v>
      </c>
      <c r="Q45" s="7" t="s">
        <v>47</v>
      </c>
      <c r="R45" s="7" t="s">
        <v>48</v>
      </c>
      <c r="S45" s="90" t="s">
        <v>49</v>
      </c>
      <c r="T45" s="90">
        <v>3846666</v>
      </c>
      <c r="U45" s="68" t="s">
        <v>50</v>
      </c>
      <c r="V45" s="7" t="s">
        <v>51</v>
      </c>
      <c r="W45" s="7" t="s">
        <v>155</v>
      </c>
      <c r="X45" s="7" t="s">
        <v>160</v>
      </c>
      <c r="Y45" s="90"/>
      <c r="Z45" s="90"/>
      <c r="AA45" s="235">
        <v>45000000</v>
      </c>
      <c r="AB45" s="8">
        <f t="shared" si="9"/>
        <v>0</v>
      </c>
      <c r="AC45" s="232"/>
      <c r="AD45" s="233"/>
      <c r="AE45" s="233">
        <f t="shared" si="2"/>
        <v>0</v>
      </c>
      <c r="AF45" s="232"/>
      <c r="AG45" s="232"/>
      <c r="AH45" s="233"/>
      <c r="AI45" s="233">
        <f t="shared" si="3"/>
        <v>0</v>
      </c>
      <c r="AJ45" s="232"/>
      <c r="AK45" s="232"/>
      <c r="AL45" s="233"/>
      <c r="AM45" s="232" t="s">
        <v>798</v>
      </c>
      <c r="AN45" s="216"/>
    </row>
    <row r="46" spans="1:41" ht="113.25" customHeight="1" x14ac:dyDescent="0.3">
      <c r="A46" s="7" t="s">
        <v>97</v>
      </c>
      <c r="B46" s="62" t="s">
        <v>40</v>
      </c>
      <c r="C46" s="61" t="s">
        <v>98</v>
      </c>
      <c r="D46" s="7" t="s">
        <v>157</v>
      </c>
      <c r="E46" s="7" t="s">
        <v>151</v>
      </c>
      <c r="F46" s="88">
        <v>44122117</v>
      </c>
      <c r="G46" s="256" t="s">
        <v>800</v>
      </c>
      <c r="H46" s="7">
        <v>7</v>
      </c>
      <c r="I46" s="7">
        <v>7</v>
      </c>
      <c r="J46" s="7">
        <v>2</v>
      </c>
      <c r="K46" s="7">
        <v>1</v>
      </c>
      <c r="L46" s="7" t="s">
        <v>803</v>
      </c>
      <c r="M46" s="7" t="s">
        <v>46</v>
      </c>
      <c r="N46" s="153">
        <v>0</v>
      </c>
      <c r="O46" s="7">
        <v>0</v>
      </c>
      <c r="P46" s="7">
        <v>0</v>
      </c>
      <c r="Q46" s="7" t="s">
        <v>47</v>
      </c>
      <c r="R46" s="7" t="s">
        <v>48</v>
      </c>
      <c r="S46" s="90" t="s">
        <v>49</v>
      </c>
      <c r="T46" s="90">
        <v>3846666</v>
      </c>
      <c r="U46" s="68" t="s">
        <v>50</v>
      </c>
      <c r="V46" s="7" t="s">
        <v>51</v>
      </c>
      <c r="W46" s="7" t="s">
        <v>155</v>
      </c>
      <c r="X46" s="7" t="s">
        <v>160</v>
      </c>
      <c r="Y46" s="257">
        <v>16000000</v>
      </c>
      <c r="Z46" s="90"/>
      <c r="AA46" s="235">
        <v>3819602</v>
      </c>
      <c r="AB46" s="8">
        <f t="shared" si="9"/>
        <v>12180398</v>
      </c>
      <c r="AC46" s="174">
        <v>14321</v>
      </c>
      <c r="AD46" s="175">
        <f>15903114-3722716</f>
        <v>12180398</v>
      </c>
      <c r="AE46" s="175">
        <f t="shared" ref="AE46" si="10">+AB46-AD46</f>
        <v>0</v>
      </c>
      <c r="AF46" s="259">
        <v>18721</v>
      </c>
      <c r="AG46" s="262">
        <v>44440</v>
      </c>
      <c r="AH46" s="261">
        <v>12180398</v>
      </c>
      <c r="AI46" s="261">
        <f t="shared" ref="AI46" si="11">+AB46-AH46</f>
        <v>0</v>
      </c>
      <c r="AJ46" s="261" t="s">
        <v>880</v>
      </c>
      <c r="AK46" s="261" t="s">
        <v>879</v>
      </c>
      <c r="AL46" s="275">
        <v>12180398</v>
      </c>
      <c r="AM46" s="232" t="s">
        <v>798</v>
      </c>
      <c r="AN46" s="216"/>
    </row>
    <row r="47" spans="1:41" ht="113.25" customHeight="1" x14ac:dyDescent="0.3">
      <c r="A47" s="7" t="s">
        <v>97</v>
      </c>
      <c r="B47" s="62" t="s">
        <v>40</v>
      </c>
      <c r="C47" s="61" t="s">
        <v>98</v>
      </c>
      <c r="D47" s="7" t="s">
        <v>157</v>
      </c>
      <c r="E47" s="7" t="s">
        <v>151</v>
      </c>
      <c r="F47" s="88">
        <v>55121734</v>
      </c>
      <c r="G47" s="256" t="s">
        <v>801</v>
      </c>
      <c r="H47" s="7">
        <v>7</v>
      </c>
      <c r="I47" s="7">
        <v>7</v>
      </c>
      <c r="J47" s="7">
        <v>2</v>
      </c>
      <c r="K47" s="7">
        <v>1</v>
      </c>
      <c r="L47" s="7" t="s">
        <v>803</v>
      </c>
      <c r="M47" s="7" t="s">
        <v>46</v>
      </c>
      <c r="N47" s="153">
        <v>0</v>
      </c>
      <c r="O47" s="7">
        <v>0</v>
      </c>
      <c r="P47" s="7">
        <v>0</v>
      </c>
      <c r="Q47" s="7" t="s">
        <v>47</v>
      </c>
      <c r="R47" s="7" t="s">
        <v>48</v>
      </c>
      <c r="S47" s="90" t="s">
        <v>49</v>
      </c>
      <c r="T47" s="90">
        <v>3846666</v>
      </c>
      <c r="U47" s="68" t="s">
        <v>50</v>
      </c>
      <c r="V47" s="7" t="s">
        <v>51</v>
      </c>
      <c r="W47" s="7" t="s">
        <v>155</v>
      </c>
      <c r="X47" s="7" t="s">
        <v>160</v>
      </c>
      <c r="Y47" s="257">
        <v>8700000</v>
      </c>
      <c r="Z47" s="90"/>
      <c r="AA47" s="235">
        <v>191500</v>
      </c>
      <c r="AB47" s="8">
        <f t="shared" si="9"/>
        <v>8508500</v>
      </c>
      <c r="AC47" s="174">
        <v>13921</v>
      </c>
      <c r="AD47" s="175">
        <f>8627500-119000</f>
        <v>8508500</v>
      </c>
      <c r="AE47" s="175">
        <f t="shared" ref="AE47:AE50" si="12">+AB47-AD47</f>
        <v>0</v>
      </c>
      <c r="AF47" s="259">
        <v>16621</v>
      </c>
      <c r="AG47" s="260">
        <v>44419</v>
      </c>
      <c r="AH47" s="261">
        <v>8508500</v>
      </c>
      <c r="AI47" s="261">
        <f t="shared" ref="AI47:AI50" si="13">+AB47-AH47</f>
        <v>0</v>
      </c>
      <c r="AJ47" s="259" t="s">
        <v>840</v>
      </c>
      <c r="AK47" s="261" t="s">
        <v>550</v>
      </c>
      <c r="AL47" s="275">
        <v>8508500</v>
      </c>
      <c r="AM47" s="7" t="s">
        <v>798</v>
      </c>
      <c r="AN47" s="216"/>
    </row>
    <row r="48" spans="1:41" ht="152.4" customHeight="1" x14ac:dyDescent="0.3">
      <c r="A48" s="7" t="s">
        <v>97</v>
      </c>
      <c r="B48" s="62" t="s">
        <v>40</v>
      </c>
      <c r="C48" s="61" t="s">
        <v>98</v>
      </c>
      <c r="D48" s="7" t="s">
        <v>157</v>
      </c>
      <c r="E48" s="7" t="s">
        <v>151</v>
      </c>
      <c r="F48" s="88">
        <v>30102012</v>
      </c>
      <c r="G48" s="256" t="s">
        <v>973</v>
      </c>
      <c r="H48" s="7">
        <v>9</v>
      </c>
      <c r="I48" s="7">
        <v>9</v>
      </c>
      <c r="J48" s="7">
        <v>3</v>
      </c>
      <c r="K48" s="7">
        <v>1</v>
      </c>
      <c r="L48" s="7" t="s">
        <v>803</v>
      </c>
      <c r="M48" s="7" t="s">
        <v>46</v>
      </c>
      <c r="N48" s="153">
        <v>0</v>
      </c>
      <c r="O48" s="7">
        <v>0</v>
      </c>
      <c r="P48" s="7">
        <v>0</v>
      </c>
      <c r="Q48" s="7" t="s">
        <v>47</v>
      </c>
      <c r="R48" s="7" t="s">
        <v>48</v>
      </c>
      <c r="S48" s="90" t="s">
        <v>49</v>
      </c>
      <c r="T48" s="90">
        <v>3846666</v>
      </c>
      <c r="U48" s="68" t="s">
        <v>50</v>
      </c>
      <c r="V48" s="7" t="s">
        <v>51</v>
      </c>
      <c r="W48" s="7" t="s">
        <v>155</v>
      </c>
      <c r="X48" s="7" t="s">
        <v>903</v>
      </c>
      <c r="Y48" s="257">
        <f>0.1+2956558+6099808.9</f>
        <v>9056367</v>
      </c>
      <c r="Z48" s="235">
        <v>9</v>
      </c>
      <c r="AA48" s="235"/>
      <c r="AB48" s="8">
        <f t="shared" si="9"/>
        <v>9056376</v>
      </c>
      <c r="AC48" s="174" t="s">
        <v>1019</v>
      </c>
      <c r="AD48" s="175">
        <f>9056376-9056376+8951696-1871196</f>
        <v>7080500</v>
      </c>
      <c r="AE48" s="175">
        <f t="shared" si="12"/>
        <v>1975876</v>
      </c>
      <c r="AF48" s="259">
        <v>28521</v>
      </c>
      <c r="AG48" s="260">
        <v>44546</v>
      </c>
      <c r="AH48" s="261">
        <v>7080500</v>
      </c>
      <c r="AI48" s="261">
        <f t="shared" si="13"/>
        <v>1975876</v>
      </c>
      <c r="AJ48" s="307" t="s">
        <v>1020</v>
      </c>
      <c r="AK48" s="261" t="s">
        <v>550</v>
      </c>
      <c r="AL48" s="275">
        <v>7080500</v>
      </c>
      <c r="AM48" s="7" t="s">
        <v>974</v>
      </c>
      <c r="AN48" s="216"/>
    </row>
    <row r="49" spans="1:40" ht="113.25" customHeight="1" x14ac:dyDescent="0.3">
      <c r="A49" s="7" t="s">
        <v>97</v>
      </c>
      <c r="B49" s="62" t="s">
        <v>40</v>
      </c>
      <c r="C49" s="61" t="s">
        <v>98</v>
      </c>
      <c r="D49" s="7" t="s">
        <v>157</v>
      </c>
      <c r="E49" s="7" t="s">
        <v>151</v>
      </c>
      <c r="F49" s="88">
        <v>24121503</v>
      </c>
      <c r="G49" s="256" t="s">
        <v>808</v>
      </c>
      <c r="H49" s="7">
        <v>7</v>
      </c>
      <c r="I49" s="7">
        <v>7</v>
      </c>
      <c r="J49" s="7">
        <v>2</v>
      </c>
      <c r="K49" s="7">
        <v>1</v>
      </c>
      <c r="L49" s="7" t="s">
        <v>803</v>
      </c>
      <c r="M49" s="7" t="s">
        <v>46</v>
      </c>
      <c r="N49" s="153">
        <v>0</v>
      </c>
      <c r="O49" s="7">
        <v>0</v>
      </c>
      <c r="P49" s="7">
        <v>0</v>
      </c>
      <c r="Q49" s="7" t="s">
        <v>47</v>
      </c>
      <c r="R49" s="7" t="s">
        <v>48</v>
      </c>
      <c r="S49" s="90" t="s">
        <v>49</v>
      </c>
      <c r="T49" s="90">
        <v>3846666</v>
      </c>
      <c r="U49" s="68" t="s">
        <v>50</v>
      </c>
      <c r="V49" s="7" t="s">
        <v>51</v>
      </c>
      <c r="W49" s="7" t="s">
        <v>155</v>
      </c>
      <c r="X49" s="7" t="s">
        <v>160</v>
      </c>
      <c r="Y49" s="257">
        <v>3300000</v>
      </c>
      <c r="Z49" s="90"/>
      <c r="AA49" s="235"/>
      <c r="AB49" s="8">
        <f t="shared" si="9"/>
        <v>3300000</v>
      </c>
      <c r="AC49" s="174">
        <v>20021</v>
      </c>
      <c r="AD49" s="175">
        <f>3253969-773969</f>
        <v>2480000</v>
      </c>
      <c r="AE49" s="175">
        <f t="shared" si="12"/>
        <v>820000</v>
      </c>
      <c r="AF49" s="259">
        <v>23121</v>
      </c>
      <c r="AG49" s="260">
        <v>44490</v>
      </c>
      <c r="AH49" s="261">
        <v>2480000</v>
      </c>
      <c r="AI49" s="261">
        <f t="shared" si="13"/>
        <v>820000</v>
      </c>
      <c r="AJ49" s="259" t="s">
        <v>949</v>
      </c>
      <c r="AK49" s="259" t="s">
        <v>948</v>
      </c>
      <c r="AL49" s="275">
        <v>2480000</v>
      </c>
      <c r="AM49" s="232" t="s">
        <v>798</v>
      </c>
      <c r="AN49" s="216"/>
    </row>
    <row r="50" spans="1:40" ht="113.25" customHeight="1" x14ac:dyDescent="0.3">
      <c r="A50" s="7" t="s">
        <v>97</v>
      </c>
      <c r="B50" s="62" t="s">
        <v>40</v>
      </c>
      <c r="C50" s="61" t="s">
        <v>98</v>
      </c>
      <c r="D50" s="7" t="s">
        <v>157</v>
      </c>
      <c r="E50" s="7" t="s">
        <v>151</v>
      </c>
      <c r="F50" s="88">
        <v>44122117</v>
      </c>
      <c r="G50" s="256" t="s">
        <v>802</v>
      </c>
      <c r="H50" s="7">
        <v>7</v>
      </c>
      <c r="I50" s="7">
        <v>7</v>
      </c>
      <c r="J50" s="7">
        <v>2</v>
      </c>
      <c r="K50" s="7">
        <v>1</v>
      </c>
      <c r="L50" s="7" t="s">
        <v>803</v>
      </c>
      <c r="M50" s="7" t="s">
        <v>46</v>
      </c>
      <c r="N50" s="153">
        <v>0</v>
      </c>
      <c r="O50" s="7">
        <v>0</v>
      </c>
      <c r="P50" s="7">
        <v>0</v>
      </c>
      <c r="Q50" s="7" t="s">
        <v>47</v>
      </c>
      <c r="R50" s="7" t="s">
        <v>48</v>
      </c>
      <c r="S50" s="90" t="s">
        <v>49</v>
      </c>
      <c r="T50" s="90">
        <v>3846666</v>
      </c>
      <c r="U50" s="68" t="s">
        <v>50</v>
      </c>
      <c r="V50" s="7" t="s">
        <v>51</v>
      </c>
      <c r="W50" s="7" t="s">
        <v>155</v>
      </c>
      <c r="X50" s="7" t="s">
        <v>160</v>
      </c>
      <c r="Y50" s="257">
        <v>4000000</v>
      </c>
      <c r="Z50" s="90"/>
      <c r="AA50" s="235">
        <f>1043442+2956558</f>
        <v>4000000</v>
      </c>
      <c r="AB50" s="8">
        <f t="shared" si="9"/>
        <v>0</v>
      </c>
      <c r="AC50" s="232"/>
      <c r="AD50" s="233"/>
      <c r="AE50" s="233">
        <f t="shared" si="12"/>
        <v>0</v>
      </c>
      <c r="AF50" s="232"/>
      <c r="AG50" s="232"/>
      <c r="AH50" s="233"/>
      <c r="AI50" s="233">
        <f t="shared" si="13"/>
        <v>0</v>
      </c>
      <c r="AJ50" s="232"/>
      <c r="AK50" s="232"/>
      <c r="AL50" s="233"/>
      <c r="AM50" s="232" t="s">
        <v>798</v>
      </c>
      <c r="AN50" s="216"/>
    </row>
    <row r="51" spans="1:40" ht="166.95" customHeight="1" x14ac:dyDescent="0.3">
      <c r="A51" s="7" t="s">
        <v>97</v>
      </c>
      <c r="B51" s="62" t="s">
        <v>40</v>
      </c>
      <c r="C51" s="61" t="s">
        <v>98</v>
      </c>
      <c r="D51" s="7" t="s">
        <v>157</v>
      </c>
      <c r="E51" s="7" t="s">
        <v>151</v>
      </c>
      <c r="F51" s="7" t="s">
        <v>843</v>
      </c>
      <c r="G51" s="90" t="s">
        <v>841</v>
      </c>
      <c r="H51" s="7" t="s">
        <v>825</v>
      </c>
      <c r="I51" s="7" t="s">
        <v>825</v>
      </c>
      <c r="J51" s="7" t="s">
        <v>826</v>
      </c>
      <c r="K51" s="7">
        <v>1</v>
      </c>
      <c r="L51" s="7" t="s">
        <v>182</v>
      </c>
      <c r="M51" s="7" t="s">
        <v>46</v>
      </c>
      <c r="N51" s="153">
        <v>4000000</v>
      </c>
      <c r="O51" s="7">
        <v>0</v>
      </c>
      <c r="P51" s="7">
        <v>0</v>
      </c>
      <c r="Q51" s="7" t="s">
        <v>47</v>
      </c>
      <c r="R51" s="7" t="s">
        <v>48</v>
      </c>
      <c r="S51" s="90" t="s">
        <v>49</v>
      </c>
      <c r="T51" s="90">
        <v>3846666</v>
      </c>
      <c r="U51" s="68" t="s">
        <v>50</v>
      </c>
      <c r="V51" s="7" t="s">
        <v>51</v>
      </c>
      <c r="W51" s="7" t="s">
        <v>85</v>
      </c>
      <c r="X51" s="7" t="s">
        <v>160</v>
      </c>
      <c r="Y51" s="90"/>
      <c r="Z51" s="235">
        <f>4210480+2449520</f>
        <v>6660000</v>
      </c>
      <c r="AA51" s="235">
        <v>1137000</v>
      </c>
      <c r="AB51" s="8">
        <f t="shared" si="9"/>
        <v>9523000</v>
      </c>
      <c r="AC51" s="174">
        <v>15921</v>
      </c>
      <c r="AD51" s="175">
        <v>9523000</v>
      </c>
      <c r="AE51" s="175">
        <f t="shared" si="2"/>
        <v>0</v>
      </c>
      <c r="AF51" s="259">
        <v>17221</v>
      </c>
      <c r="AG51" s="260">
        <v>44426</v>
      </c>
      <c r="AH51" s="261">
        <v>9523000</v>
      </c>
      <c r="AI51" s="261">
        <f t="shared" si="3"/>
        <v>0</v>
      </c>
      <c r="AJ51" s="259" t="s">
        <v>861</v>
      </c>
      <c r="AK51" s="259" t="s">
        <v>860</v>
      </c>
      <c r="AL51" s="275">
        <f>995000+2132000+2132000+2132000+2132000</f>
        <v>9523000</v>
      </c>
      <c r="AM51" s="7" t="s">
        <v>798</v>
      </c>
      <c r="AN51" s="216"/>
    </row>
    <row r="52" spans="1:40" ht="113.25" customHeight="1" x14ac:dyDescent="0.3">
      <c r="A52" s="7" t="s">
        <v>97</v>
      </c>
      <c r="B52" s="62" t="s">
        <v>40</v>
      </c>
      <c r="C52" s="61" t="s">
        <v>98</v>
      </c>
      <c r="D52" s="7" t="s">
        <v>157</v>
      </c>
      <c r="E52" s="7" t="s">
        <v>151</v>
      </c>
      <c r="F52" s="7" t="s">
        <v>183</v>
      </c>
      <c r="G52" s="90" t="s">
        <v>184</v>
      </c>
      <c r="H52" s="7">
        <v>6</v>
      </c>
      <c r="I52" s="7">
        <v>7</v>
      </c>
      <c r="J52" s="7" t="s">
        <v>814</v>
      </c>
      <c r="K52" s="7">
        <v>1</v>
      </c>
      <c r="L52" s="7" t="s">
        <v>45</v>
      </c>
      <c r="M52" s="7" t="s">
        <v>46</v>
      </c>
      <c r="N52" s="153">
        <f>52000000-7094336</f>
        <v>44905664</v>
      </c>
      <c r="O52" s="7">
        <v>0</v>
      </c>
      <c r="P52" s="7">
        <v>0</v>
      </c>
      <c r="Q52" s="7" t="s">
        <v>47</v>
      </c>
      <c r="R52" s="7" t="s">
        <v>48</v>
      </c>
      <c r="S52" s="90" t="s">
        <v>49</v>
      </c>
      <c r="T52" s="90">
        <v>3846666</v>
      </c>
      <c r="U52" s="68" t="s">
        <v>50</v>
      </c>
      <c r="V52" s="7" t="s">
        <v>51</v>
      </c>
      <c r="W52" s="7" t="s">
        <v>85</v>
      </c>
      <c r="X52" s="7" t="s">
        <v>160</v>
      </c>
      <c r="Y52" s="90"/>
      <c r="Z52" s="90"/>
      <c r="AA52" s="235">
        <f>5577100+16976716+2449520+4307510+6099808.9+9495009.1</f>
        <v>44905664</v>
      </c>
      <c r="AB52" s="8">
        <f t="shared" si="9"/>
        <v>0</v>
      </c>
      <c r="AC52" s="232"/>
      <c r="AD52" s="233"/>
      <c r="AE52" s="233">
        <f t="shared" si="2"/>
        <v>0</v>
      </c>
      <c r="AF52" s="232"/>
      <c r="AG52" s="232"/>
      <c r="AH52" s="233"/>
      <c r="AI52" s="233">
        <f t="shared" si="3"/>
        <v>0</v>
      </c>
      <c r="AJ52" s="232"/>
      <c r="AK52" s="232"/>
      <c r="AL52" s="233"/>
      <c r="AM52" s="232" t="s">
        <v>798</v>
      </c>
      <c r="AN52" s="216"/>
    </row>
    <row r="53" spans="1:40" ht="113.25" customHeight="1" x14ac:dyDescent="0.3">
      <c r="A53" s="7" t="s">
        <v>97</v>
      </c>
      <c r="B53" s="62" t="s">
        <v>40</v>
      </c>
      <c r="C53" s="61" t="s">
        <v>98</v>
      </c>
      <c r="D53" s="7" t="s">
        <v>157</v>
      </c>
      <c r="E53" s="7" t="s">
        <v>151</v>
      </c>
      <c r="F53" s="7" t="s">
        <v>185</v>
      </c>
      <c r="G53" s="7" t="s">
        <v>184</v>
      </c>
      <c r="H53" s="7">
        <v>6</v>
      </c>
      <c r="I53" s="7">
        <v>7</v>
      </c>
      <c r="J53" s="7" t="s">
        <v>814</v>
      </c>
      <c r="K53" s="7">
        <v>1</v>
      </c>
      <c r="L53" s="7" t="s">
        <v>45</v>
      </c>
      <c r="M53" s="7" t="s">
        <v>119</v>
      </c>
      <c r="N53" s="153">
        <v>7094336</v>
      </c>
      <c r="O53" s="7">
        <v>0</v>
      </c>
      <c r="P53" s="7">
        <v>0</v>
      </c>
      <c r="Q53" s="7" t="s">
        <v>47</v>
      </c>
      <c r="R53" s="7" t="s">
        <v>48</v>
      </c>
      <c r="S53" s="90" t="s">
        <v>49</v>
      </c>
      <c r="T53" s="90">
        <v>3846666</v>
      </c>
      <c r="U53" s="68" t="s">
        <v>50</v>
      </c>
      <c r="V53" s="7" t="s">
        <v>51</v>
      </c>
      <c r="W53" s="7" t="s">
        <v>85</v>
      </c>
      <c r="X53" s="7" t="s">
        <v>160</v>
      </c>
      <c r="Y53" s="90"/>
      <c r="Z53" s="90"/>
      <c r="AA53" s="235">
        <v>7094336</v>
      </c>
      <c r="AB53" s="8">
        <f t="shared" si="9"/>
        <v>0</v>
      </c>
      <c r="AC53" s="232"/>
      <c r="AD53" s="233"/>
      <c r="AE53" s="233">
        <f t="shared" si="2"/>
        <v>0</v>
      </c>
      <c r="AF53" s="232"/>
      <c r="AG53" s="232"/>
      <c r="AH53" s="233"/>
      <c r="AI53" s="233">
        <f t="shared" si="3"/>
        <v>0</v>
      </c>
      <c r="AJ53" s="232"/>
      <c r="AK53" s="232"/>
      <c r="AL53" s="233"/>
      <c r="AM53" s="232" t="s">
        <v>798</v>
      </c>
      <c r="AN53" s="216"/>
    </row>
    <row r="54" spans="1:40" ht="113.25" customHeight="1" x14ac:dyDescent="0.3">
      <c r="A54" s="7" t="s">
        <v>97</v>
      </c>
      <c r="B54" s="62" t="s">
        <v>40</v>
      </c>
      <c r="C54" s="61" t="s">
        <v>98</v>
      </c>
      <c r="D54" s="7" t="s">
        <v>157</v>
      </c>
      <c r="E54" s="7" t="s">
        <v>151</v>
      </c>
      <c r="F54" s="7" t="s">
        <v>185</v>
      </c>
      <c r="G54" s="7" t="s">
        <v>186</v>
      </c>
      <c r="H54" s="7" t="s">
        <v>60</v>
      </c>
      <c r="I54" s="7" t="s">
        <v>827</v>
      </c>
      <c r="J54" s="7" t="s">
        <v>828</v>
      </c>
      <c r="K54" s="7">
        <v>1</v>
      </c>
      <c r="L54" s="7" t="s">
        <v>182</v>
      </c>
      <c r="M54" s="7" t="s">
        <v>46</v>
      </c>
      <c r="N54" s="153">
        <v>18000000</v>
      </c>
      <c r="O54" s="7">
        <v>0</v>
      </c>
      <c r="P54" s="7">
        <v>0</v>
      </c>
      <c r="Q54" s="7" t="s">
        <v>47</v>
      </c>
      <c r="R54" s="7" t="s">
        <v>48</v>
      </c>
      <c r="S54" s="90" t="s">
        <v>49</v>
      </c>
      <c r="T54" s="90">
        <v>3846666</v>
      </c>
      <c r="U54" s="68" t="s">
        <v>50</v>
      </c>
      <c r="V54" s="7" t="s">
        <v>51</v>
      </c>
      <c r="W54" s="7" t="s">
        <v>85</v>
      </c>
      <c r="X54" s="7" t="s">
        <v>160</v>
      </c>
      <c r="Y54" s="90"/>
      <c r="Z54" s="235">
        <f>4613242+2789520</f>
        <v>7402762</v>
      </c>
      <c r="AA54" s="235">
        <v>1002762</v>
      </c>
      <c r="AB54" s="8">
        <f t="shared" si="9"/>
        <v>24400000</v>
      </c>
      <c r="AC54" s="174">
        <v>15721</v>
      </c>
      <c r="AD54" s="175">
        <f>25402762-1002762</f>
        <v>24400000</v>
      </c>
      <c r="AE54" s="175">
        <f t="shared" si="2"/>
        <v>0</v>
      </c>
      <c r="AF54" s="259">
        <v>18321</v>
      </c>
      <c r="AG54" s="260">
        <v>44440</v>
      </c>
      <c r="AH54" s="261">
        <v>24400000</v>
      </c>
      <c r="AI54" s="261">
        <f t="shared" si="3"/>
        <v>0</v>
      </c>
      <c r="AJ54" s="259" t="s">
        <v>872</v>
      </c>
      <c r="AK54" s="259" t="s">
        <v>509</v>
      </c>
      <c r="AL54" s="275">
        <f>6100000+12200000+6100000</f>
        <v>24400000</v>
      </c>
      <c r="AM54" s="232" t="s">
        <v>798</v>
      </c>
      <c r="AN54" s="216"/>
    </row>
    <row r="55" spans="1:40" ht="130.94999999999999" customHeight="1" x14ac:dyDescent="0.3">
      <c r="A55" s="7" t="s">
        <v>97</v>
      </c>
      <c r="B55" s="62" t="s">
        <v>40</v>
      </c>
      <c r="C55" s="61" t="s">
        <v>98</v>
      </c>
      <c r="D55" s="7" t="s">
        <v>157</v>
      </c>
      <c r="E55" s="7" t="s">
        <v>151</v>
      </c>
      <c r="F55" s="7" t="s">
        <v>185</v>
      </c>
      <c r="G55" s="90" t="s">
        <v>804</v>
      </c>
      <c r="H55" s="7" t="s">
        <v>811</v>
      </c>
      <c r="I55" s="7" t="s">
        <v>812</v>
      </c>
      <c r="J55" s="7" t="s">
        <v>813</v>
      </c>
      <c r="K55" s="7">
        <v>1</v>
      </c>
      <c r="L55" s="7" t="s">
        <v>182</v>
      </c>
      <c r="M55" s="7" t="s">
        <v>46</v>
      </c>
      <c r="N55" s="153">
        <v>14000000</v>
      </c>
      <c r="O55" s="7">
        <v>0</v>
      </c>
      <c r="P55" s="7">
        <v>0</v>
      </c>
      <c r="Q55" s="7" t="s">
        <v>47</v>
      </c>
      <c r="R55" s="7" t="s">
        <v>48</v>
      </c>
      <c r="S55" s="90" t="s">
        <v>49</v>
      </c>
      <c r="T55" s="90">
        <v>3846666</v>
      </c>
      <c r="U55" s="68" t="s">
        <v>50</v>
      </c>
      <c r="V55" s="7" t="s">
        <v>51</v>
      </c>
      <c r="W55" s="7" t="s">
        <v>85</v>
      </c>
      <c r="X55" s="7" t="s">
        <v>160</v>
      </c>
      <c r="Y55" s="90"/>
      <c r="Z55" s="90"/>
      <c r="AA55" s="235">
        <f>1250000+275000</f>
        <v>1525000</v>
      </c>
      <c r="AB55" s="8">
        <f t="shared" si="9"/>
        <v>12475000</v>
      </c>
      <c r="AC55" s="174">
        <v>13721</v>
      </c>
      <c r="AD55" s="175">
        <f>12750000-275000</f>
        <v>12475000</v>
      </c>
      <c r="AE55" s="175">
        <f t="shared" si="2"/>
        <v>0</v>
      </c>
      <c r="AF55" s="259">
        <v>16421</v>
      </c>
      <c r="AG55" s="260">
        <v>44414</v>
      </c>
      <c r="AH55" s="261">
        <v>12475000</v>
      </c>
      <c r="AI55" s="261">
        <f t="shared" si="3"/>
        <v>0</v>
      </c>
      <c r="AJ55" s="259" t="s">
        <v>837</v>
      </c>
      <c r="AK55" s="259" t="s">
        <v>509</v>
      </c>
      <c r="AL55" s="275">
        <f>3700000+5075000+3700000</f>
        <v>12475000</v>
      </c>
      <c r="AM55" s="7" t="s">
        <v>798</v>
      </c>
      <c r="AN55" s="216"/>
    </row>
    <row r="56" spans="1:40" ht="132" customHeight="1" x14ac:dyDescent="0.3">
      <c r="A56" s="7" t="s">
        <v>97</v>
      </c>
      <c r="B56" s="62" t="s">
        <v>40</v>
      </c>
      <c r="C56" s="61" t="s">
        <v>98</v>
      </c>
      <c r="D56" s="7" t="s">
        <v>157</v>
      </c>
      <c r="E56" s="7" t="s">
        <v>151</v>
      </c>
      <c r="F56" s="7" t="s">
        <v>185</v>
      </c>
      <c r="G56" s="90" t="s">
        <v>799</v>
      </c>
      <c r="H56" s="7" t="s">
        <v>811</v>
      </c>
      <c r="I56" s="7" t="s">
        <v>812</v>
      </c>
      <c r="J56" s="7" t="s">
        <v>813</v>
      </c>
      <c r="K56" s="7">
        <v>1</v>
      </c>
      <c r="L56" s="7" t="s">
        <v>182</v>
      </c>
      <c r="M56" s="7" t="s">
        <v>46</v>
      </c>
      <c r="N56" s="153">
        <v>10000000</v>
      </c>
      <c r="O56" s="7">
        <v>0</v>
      </c>
      <c r="P56" s="7">
        <v>0</v>
      </c>
      <c r="Q56" s="7" t="s">
        <v>47</v>
      </c>
      <c r="R56" s="7" t="s">
        <v>48</v>
      </c>
      <c r="S56" s="90" t="s">
        <v>49</v>
      </c>
      <c r="T56" s="90">
        <v>3846666</v>
      </c>
      <c r="U56" s="68" t="s">
        <v>50</v>
      </c>
      <c r="V56" s="7" t="s">
        <v>51</v>
      </c>
      <c r="W56" s="7" t="s">
        <v>85</v>
      </c>
      <c r="X56" s="7" t="s">
        <v>160</v>
      </c>
      <c r="Y56" s="90"/>
      <c r="Z56" s="235">
        <v>5577100</v>
      </c>
      <c r="AA56" s="90"/>
      <c r="AB56" s="8">
        <f t="shared" si="9"/>
        <v>15577100</v>
      </c>
      <c r="AC56" s="174">
        <v>13621</v>
      </c>
      <c r="AD56" s="175">
        <v>15577100</v>
      </c>
      <c r="AE56" s="175">
        <f t="shared" si="2"/>
        <v>0</v>
      </c>
      <c r="AF56" s="259">
        <v>18021</v>
      </c>
      <c r="AG56" s="260">
        <v>44439</v>
      </c>
      <c r="AH56" s="261">
        <v>15577100</v>
      </c>
      <c r="AI56" s="261">
        <f t="shared" si="3"/>
        <v>0</v>
      </c>
      <c r="AJ56" s="259" t="s">
        <v>862</v>
      </c>
      <c r="AK56" s="259" t="s">
        <v>863</v>
      </c>
      <c r="AL56" s="275">
        <f>7788550+7788550</f>
        <v>15577100</v>
      </c>
      <c r="AM56" s="7" t="s">
        <v>798</v>
      </c>
      <c r="AN56" s="216"/>
    </row>
    <row r="57" spans="1:40" ht="169.95" customHeight="1" x14ac:dyDescent="0.3">
      <c r="A57" s="7" t="s">
        <v>97</v>
      </c>
      <c r="B57" s="62" t="s">
        <v>40</v>
      </c>
      <c r="C57" s="61" t="s">
        <v>98</v>
      </c>
      <c r="D57" s="7" t="s">
        <v>157</v>
      </c>
      <c r="E57" s="7" t="s">
        <v>151</v>
      </c>
      <c r="F57" s="7" t="s">
        <v>185</v>
      </c>
      <c r="G57" s="90" t="s">
        <v>805</v>
      </c>
      <c r="H57" s="7" t="s">
        <v>811</v>
      </c>
      <c r="I57" s="7" t="s">
        <v>812</v>
      </c>
      <c r="J57" s="7" t="s">
        <v>813</v>
      </c>
      <c r="K57" s="7">
        <v>1</v>
      </c>
      <c r="L57" s="7" t="s">
        <v>182</v>
      </c>
      <c r="M57" s="7" t="s">
        <v>46</v>
      </c>
      <c r="N57" s="153">
        <v>6000000</v>
      </c>
      <c r="O57" s="7">
        <v>0</v>
      </c>
      <c r="P57" s="7">
        <v>0</v>
      </c>
      <c r="Q57" s="7" t="s">
        <v>47</v>
      </c>
      <c r="R57" s="7" t="s">
        <v>48</v>
      </c>
      <c r="S57" s="90" t="s">
        <v>49</v>
      </c>
      <c r="T57" s="90">
        <v>3846666</v>
      </c>
      <c r="U57" s="68" t="s">
        <v>50</v>
      </c>
      <c r="V57" s="7" t="s">
        <v>51</v>
      </c>
      <c r="W57" s="7" t="s">
        <v>85</v>
      </c>
      <c r="X57" s="7" t="s">
        <v>160</v>
      </c>
      <c r="Y57" s="90"/>
      <c r="Z57" s="235">
        <f>9805284+1250000+16976716</f>
        <v>28032000</v>
      </c>
      <c r="AA57" s="90"/>
      <c r="AB57" s="8">
        <f t="shared" si="9"/>
        <v>34032000</v>
      </c>
      <c r="AC57" s="174">
        <v>14021</v>
      </c>
      <c r="AD57" s="175">
        <v>34032000</v>
      </c>
      <c r="AE57" s="175">
        <f t="shared" si="2"/>
        <v>0</v>
      </c>
      <c r="AF57" s="259">
        <v>18121</v>
      </c>
      <c r="AG57" s="260">
        <v>44439</v>
      </c>
      <c r="AH57" s="261">
        <v>34032000</v>
      </c>
      <c r="AI57" s="261">
        <f t="shared" si="3"/>
        <v>0</v>
      </c>
      <c r="AJ57" s="259" t="s">
        <v>864</v>
      </c>
      <c r="AK57" s="259" t="s">
        <v>533</v>
      </c>
      <c r="AL57" s="275">
        <f>21836500+2973000</f>
        <v>24809500</v>
      </c>
      <c r="AM57" s="7" t="s">
        <v>798</v>
      </c>
      <c r="AN57" s="216"/>
    </row>
    <row r="58" spans="1:40" ht="113.25" customHeight="1" x14ac:dyDescent="0.3">
      <c r="A58" s="7" t="s">
        <v>97</v>
      </c>
      <c r="B58" s="62" t="s">
        <v>40</v>
      </c>
      <c r="C58" s="61" t="s">
        <v>98</v>
      </c>
      <c r="D58" s="7" t="s">
        <v>157</v>
      </c>
      <c r="E58" s="7" t="s">
        <v>151</v>
      </c>
      <c r="F58" s="7" t="s">
        <v>189</v>
      </c>
      <c r="G58" s="90" t="s">
        <v>190</v>
      </c>
      <c r="H58" s="7" t="s">
        <v>809</v>
      </c>
      <c r="I58" s="7" t="s">
        <v>810</v>
      </c>
      <c r="J58" s="7">
        <v>3</v>
      </c>
      <c r="K58" s="7">
        <v>1</v>
      </c>
      <c r="L58" s="7" t="s">
        <v>182</v>
      </c>
      <c r="M58" s="7" t="s">
        <v>46</v>
      </c>
      <c r="N58" s="153">
        <v>14700000</v>
      </c>
      <c r="O58" s="7">
        <v>0</v>
      </c>
      <c r="P58" s="7">
        <v>0</v>
      </c>
      <c r="Q58" s="7" t="s">
        <v>47</v>
      </c>
      <c r="R58" s="7" t="s">
        <v>48</v>
      </c>
      <c r="S58" s="90" t="s">
        <v>49</v>
      </c>
      <c r="T58" s="90">
        <v>3846666</v>
      </c>
      <c r="U58" s="68" t="s">
        <v>50</v>
      </c>
      <c r="V58" s="7" t="s">
        <v>51</v>
      </c>
      <c r="W58" s="7" t="s">
        <v>191</v>
      </c>
      <c r="X58" s="7" t="s">
        <v>160</v>
      </c>
      <c r="Y58" s="90"/>
      <c r="Z58" s="235">
        <v>3194716</v>
      </c>
      <c r="AA58" s="235">
        <v>4078</v>
      </c>
      <c r="AB58" s="8">
        <f t="shared" ref="AB58:AB61" si="14">+N58+Y58+Z58-AA58</f>
        <v>17890638</v>
      </c>
      <c r="AC58" s="174">
        <v>15821</v>
      </c>
      <c r="AD58" s="175">
        <f>17890638-4938</f>
        <v>17885700</v>
      </c>
      <c r="AE58" s="175">
        <f t="shared" si="2"/>
        <v>4938</v>
      </c>
      <c r="AF58" s="259">
        <v>20321</v>
      </c>
      <c r="AG58" s="260">
        <v>44460</v>
      </c>
      <c r="AH58" s="261">
        <v>17885700</v>
      </c>
      <c r="AI58" s="261">
        <f t="shared" si="3"/>
        <v>4938</v>
      </c>
      <c r="AJ58" s="259" t="s">
        <v>926</v>
      </c>
      <c r="AK58" s="259" t="s">
        <v>550</v>
      </c>
      <c r="AL58" s="233"/>
      <c r="AM58" s="232" t="s">
        <v>798</v>
      </c>
      <c r="AN58" s="216"/>
    </row>
    <row r="59" spans="1:40" ht="113.25" customHeight="1" x14ac:dyDescent="0.3">
      <c r="A59" s="7" t="s">
        <v>97</v>
      </c>
      <c r="B59" s="62" t="s">
        <v>40</v>
      </c>
      <c r="C59" s="61" t="s">
        <v>98</v>
      </c>
      <c r="D59" s="7" t="s">
        <v>157</v>
      </c>
      <c r="E59" s="7" t="s">
        <v>151</v>
      </c>
      <c r="F59" s="7" t="s">
        <v>192</v>
      </c>
      <c r="G59" s="7" t="s">
        <v>193</v>
      </c>
      <c r="H59" s="7">
        <v>3</v>
      </c>
      <c r="I59" s="7">
        <v>4</v>
      </c>
      <c r="J59" s="7">
        <v>2</v>
      </c>
      <c r="K59" s="7">
        <v>1</v>
      </c>
      <c r="L59" s="7" t="s">
        <v>182</v>
      </c>
      <c r="M59" s="7" t="s">
        <v>46</v>
      </c>
      <c r="N59" s="153">
        <v>7000000</v>
      </c>
      <c r="O59" s="7">
        <v>0</v>
      </c>
      <c r="P59" s="7">
        <v>0</v>
      </c>
      <c r="Q59" s="7" t="s">
        <v>47</v>
      </c>
      <c r="R59" s="7" t="s">
        <v>48</v>
      </c>
      <c r="S59" s="90" t="s">
        <v>49</v>
      </c>
      <c r="T59" s="90">
        <v>3846666</v>
      </c>
      <c r="U59" s="68" t="s">
        <v>50</v>
      </c>
      <c r="V59" s="7" t="s">
        <v>51</v>
      </c>
      <c r="W59" s="7" t="s">
        <v>191</v>
      </c>
      <c r="X59" s="7" t="s">
        <v>160</v>
      </c>
      <c r="Y59" s="90"/>
      <c r="Z59" s="90"/>
      <c r="AA59" s="235">
        <f>2789520+4210480</f>
        <v>7000000</v>
      </c>
      <c r="AB59" s="8">
        <f t="shared" si="14"/>
        <v>0</v>
      </c>
      <c r="AC59" s="232"/>
      <c r="AD59" s="233"/>
      <c r="AE59" s="233">
        <f t="shared" si="2"/>
        <v>0</v>
      </c>
      <c r="AF59" s="232"/>
      <c r="AG59" s="232"/>
      <c r="AH59" s="233"/>
      <c r="AI59" s="233">
        <f t="shared" si="3"/>
        <v>0</v>
      </c>
      <c r="AJ59" s="232"/>
      <c r="AK59" s="232"/>
      <c r="AL59" s="233"/>
      <c r="AM59" s="232" t="s">
        <v>798</v>
      </c>
      <c r="AN59" s="216"/>
    </row>
    <row r="60" spans="1:40" ht="264" customHeight="1" x14ac:dyDescent="0.3">
      <c r="A60" s="7" t="s">
        <v>194</v>
      </c>
      <c r="B60" s="62" t="s">
        <v>40</v>
      </c>
      <c r="C60" s="142" t="s">
        <v>195</v>
      </c>
      <c r="D60" s="7" t="s">
        <v>196</v>
      </c>
      <c r="E60" s="7" t="s">
        <v>43</v>
      </c>
      <c r="F60" s="7">
        <v>80111621</v>
      </c>
      <c r="G60" s="90" t="s">
        <v>953</v>
      </c>
      <c r="H60" s="90" t="s">
        <v>904</v>
      </c>
      <c r="I60" s="90" t="s">
        <v>905</v>
      </c>
      <c r="J60" s="90" t="s">
        <v>906</v>
      </c>
      <c r="K60" s="90">
        <v>1</v>
      </c>
      <c r="L60" s="90" t="s">
        <v>907</v>
      </c>
      <c r="M60" s="90" t="s">
        <v>46</v>
      </c>
      <c r="N60" s="172">
        <f>20000000-3746076</f>
        <v>16253924</v>
      </c>
      <c r="O60" s="7">
        <v>0</v>
      </c>
      <c r="P60" s="7">
        <v>0</v>
      </c>
      <c r="Q60" s="7" t="s">
        <v>47</v>
      </c>
      <c r="R60" s="7" t="s">
        <v>48</v>
      </c>
      <c r="S60" s="90" t="s">
        <v>49</v>
      </c>
      <c r="T60" s="90">
        <v>3846666</v>
      </c>
      <c r="U60" s="68" t="s">
        <v>50</v>
      </c>
      <c r="V60" s="7" t="s">
        <v>51</v>
      </c>
      <c r="W60" s="7" t="s">
        <v>198</v>
      </c>
      <c r="X60" s="7" t="s">
        <v>199</v>
      </c>
      <c r="Y60" s="90"/>
      <c r="Z60" s="90"/>
      <c r="AA60" s="235">
        <v>16253924</v>
      </c>
      <c r="AB60" s="8">
        <f t="shared" si="14"/>
        <v>0</v>
      </c>
      <c r="AC60" s="174">
        <v>19721</v>
      </c>
      <c r="AD60" s="175">
        <f>16253924-16253924</f>
        <v>0</v>
      </c>
      <c r="AE60" s="175">
        <f t="shared" si="2"/>
        <v>0</v>
      </c>
      <c r="AF60" s="232"/>
      <c r="AG60" s="232"/>
      <c r="AH60" s="233"/>
      <c r="AI60" s="233">
        <f t="shared" si="3"/>
        <v>0</v>
      </c>
      <c r="AJ60" s="232"/>
      <c r="AK60" s="232"/>
      <c r="AL60" s="233"/>
      <c r="AM60" s="232" t="s">
        <v>946</v>
      </c>
      <c r="AN60" s="216"/>
    </row>
    <row r="61" spans="1:40" ht="199.95" customHeight="1" x14ac:dyDescent="0.3">
      <c r="A61" s="7" t="s">
        <v>194</v>
      </c>
      <c r="B61" s="62" t="s">
        <v>40</v>
      </c>
      <c r="C61" s="142" t="s">
        <v>195</v>
      </c>
      <c r="D61" s="7" t="s">
        <v>196</v>
      </c>
      <c r="E61" s="7" t="s">
        <v>43</v>
      </c>
      <c r="F61" s="7" t="s">
        <v>197</v>
      </c>
      <c r="G61" s="90" t="s">
        <v>953</v>
      </c>
      <c r="H61" s="90" t="s">
        <v>904</v>
      </c>
      <c r="I61" s="90" t="s">
        <v>905</v>
      </c>
      <c r="J61" s="90" t="s">
        <v>906</v>
      </c>
      <c r="K61" s="90">
        <v>1</v>
      </c>
      <c r="L61" s="90" t="s">
        <v>907</v>
      </c>
      <c r="M61" s="90" t="s">
        <v>119</v>
      </c>
      <c r="N61" s="172">
        <v>5000000</v>
      </c>
      <c r="O61" s="7">
        <v>0</v>
      </c>
      <c r="P61" s="7">
        <v>0</v>
      </c>
      <c r="Q61" s="7" t="s">
        <v>47</v>
      </c>
      <c r="R61" s="7" t="s">
        <v>48</v>
      </c>
      <c r="S61" s="90" t="s">
        <v>49</v>
      </c>
      <c r="T61" s="90">
        <v>3846666</v>
      </c>
      <c r="U61" s="68" t="s">
        <v>50</v>
      </c>
      <c r="V61" s="7" t="s">
        <v>51</v>
      </c>
      <c r="W61" s="7" t="s">
        <v>198</v>
      </c>
      <c r="X61" s="7" t="s">
        <v>199</v>
      </c>
      <c r="Y61" s="90"/>
      <c r="Z61" s="90"/>
      <c r="AA61" s="235">
        <v>5000000</v>
      </c>
      <c r="AB61" s="8">
        <f t="shared" si="14"/>
        <v>0</v>
      </c>
      <c r="AC61" s="174">
        <v>19721</v>
      </c>
      <c r="AD61" s="175">
        <f>5000000-5000000</f>
        <v>0</v>
      </c>
      <c r="AE61" s="175">
        <f t="shared" si="2"/>
        <v>0</v>
      </c>
      <c r="AF61" s="232"/>
      <c r="AG61" s="232"/>
      <c r="AH61" s="233"/>
      <c r="AI61" s="233">
        <f t="shared" si="3"/>
        <v>0</v>
      </c>
      <c r="AJ61" s="232"/>
      <c r="AK61" s="232"/>
      <c r="AL61" s="233"/>
      <c r="AM61" s="232" t="s">
        <v>946</v>
      </c>
      <c r="AN61" s="216"/>
    </row>
    <row r="62" spans="1:40" ht="109.2" customHeight="1" x14ac:dyDescent="0.3">
      <c r="A62" s="7" t="s">
        <v>194</v>
      </c>
      <c r="B62" s="62" t="s">
        <v>40</v>
      </c>
      <c r="C62" s="142" t="s">
        <v>195</v>
      </c>
      <c r="D62" s="7" t="s">
        <v>196</v>
      </c>
      <c r="E62" s="7" t="s">
        <v>43</v>
      </c>
      <c r="F62" s="7" t="s">
        <v>65</v>
      </c>
      <c r="G62" s="90" t="s">
        <v>66</v>
      </c>
      <c r="H62" s="90" t="s">
        <v>65</v>
      </c>
      <c r="I62" s="90" t="s">
        <v>65</v>
      </c>
      <c r="J62" s="90" t="s">
        <v>65</v>
      </c>
      <c r="K62" s="90" t="s">
        <v>65</v>
      </c>
      <c r="L62" s="90" t="s">
        <v>67</v>
      </c>
      <c r="M62" s="90" t="s">
        <v>46</v>
      </c>
      <c r="N62" s="172">
        <f>1808240+3506076</f>
        <v>5314316</v>
      </c>
      <c r="O62" s="7">
        <v>0</v>
      </c>
      <c r="P62" s="7">
        <v>0</v>
      </c>
      <c r="Q62" s="7" t="s">
        <v>47</v>
      </c>
      <c r="R62" s="7" t="s">
        <v>48</v>
      </c>
      <c r="S62" s="90" t="s">
        <v>49</v>
      </c>
      <c r="T62" s="90">
        <v>3846666</v>
      </c>
      <c r="U62" s="68" t="s">
        <v>50</v>
      </c>
      <c r="V62" s="7" t="s">
        <v>51</v>
      </c>
      <c r="W62" s="7" t="s">
        <v>68</v>
      </c>
      <c r="X62" s="7" t="s">
        <v>65</v>
      </c>
      <c r="Y62" s="90"/>
      <c r="Z62" s="90"/>
      <c r="AA62" s="90"/>
      <c r="AB62" s="8">
        <f t="shared" si="9"/>
        <v>5314316</v>
      </c>
      <c r="AC62" s="174" t="s">
        <v>938</v>
      </c>
      <c r="AD62" s="175">
        <f>277130+277130</f>
        <v>554260</v>
      </c>
      <c r="AE62" s="175">
        <f t="shared" si="2"/>
        <v>4760056</v>
      </c>
      <c r="AF62" s="261" t="s">
        <v>954</v>
      </c>
      <c r="AG62" s="261" t="s">
        <v>955</v>
      </c>
      <c r="AH62" s="261">
        <f>277130+277130</f>
        <v>554260</v>
      </c>
      <c r="AI62" s="261">
        <f t="shared" si="3"/>
        <v>4760056</v>
      </c>
      <c r="AJ62" s="294" t="s">
        <v>956</v>
      </c>
      <c r="AK62" s="259" t="s">
        <v>834</v>
      </c>
      <c r="AL62" s="275">
        <f>277130+277130</f>
        <v>554260</v>
      </c>
      <c r="AM62" s="232"/>
      <c r="AN62" s="216"/>
    </row>
    <row r="63" spans="1:40" ht="109.2" customHeight="1" x14ac:dyDescent="0.3">
      <c r="A63" s="7" t="s">
        <v>194</v>
      </c>
      <c r="B63" s="62" t="s">
        <v>40</v>
      </c>
      <c r="C63" s="142" t="s">
        <v>195</v>
      </c>
      <c r="D63" s="7" t="s">
        <v>196</v>
      </c>
      <c r="E63" s="7" t="s">
        <v>43</v>
      </c>
      <c r="F63" s="7" t="s">
        <v>65</v>
      </c>
      <c r="G63" s="90" t="s">
        <v>69</v>
      </c>
      <c r="H63" s="90" t="s">
        <v>65</v>
      </c>
      <c r="I63" s="90" t="s">
        <v>65</v>
      </c>
      <c r="J63" s="90" t="s">
        <v>65</v>
      </c>
      <c r="K63" s="90" t="s">
        <v>65</v>
      </c>
      <c r="L63" s="90" t="s">
        <v>67</v>
      </c>
      <c r="M63" s="90" t="s">
        <v>46</v>
      </c>
      <c r="N63" s="172">
        <f>120000+240000</f>
        <v>360000</v>
      </c>
      <c r="O63" s="7">
        <v>0</v>
      </c>
      <c r="P63" s="7">
        <v>0</v>
      </c>
      <c r="Q63" s="7" t="s">
        <v>47</v>
      </c>
      <c r="R63" s="7" t="s">
        <v>48</v>
      </c>
      <c r="S63" s="90" t="s">
        <v>49</v>
      </c>
      <c r="T63" s="90">
        <v>3846666</v>
      </c>
      <c r="U63" s="68" t="s">
        <v>50</v>
      </c>
      <c r="V63" s="7" t="s">
        <v>51</v>
      </c>
      <c r="W63" s="7" t="s">
        <v>70</v>
      </c>
      <c r="X63" s="7" t="s">
        <v>65</v>
      </c>
      <c r="Y63" s="90"/>
      <c r="Z63" s="235"/>
      <c r="AA63" s="235">
        <v>30000</v>
      </c>
      <c r="AB63" s="8">
        <f t="shared" si="9"/>
        <v>330000</v>
      </c>
      <c r="AC63" s="174" t="s">
        <v>938</v>
      </c>
      <c r="AD63" s="175">
        <f>140000+140000</f>
        <v>280000</v>
      </c>
      <c r="AE63" s="175">
        <f t="shared" si="2"/>
        <v>50000</v>
      </c>
      <c r="AF63" s="261" t="s">
        <v>954</v>
      </c>
      <c r="AG63" s="261" t="s">
        <v>955</v>
      </c>
      <c r="AH63" s="261">
        <f>140000+140000</f>
        <v>280000</v>
      </c>
      <c r="AI63" s="261">
        <f t="shared" si="3"/>
        <v>50000</v>
      </c>
      <c r="AJ63" s="294" t="s">
        <v>956</v>
      </c>
      <c r="AK63" s="259" t="s">
        <v>835</v>
      </c>
      <c r="AL63" s="275">
        <f>140000+140000</f>
        <v>280000</v>
      </c>
      <c r="AM63" s="7" t="s">
        <v>960</v>
      </c>
      <c r="AN63" s="216"/>
    </row>
    <row r="64" spans="1:40" ht="109.2" customHeight="1" x14ac:dyDescent="0.3">
      <c r="A64" s="7" t="s">
        <v>194</v>
      </c>
      <c r="B64" s="62" t="s">
        <v>40</v>
      </c>
      <c r="C64" s="142" t="s">
        <v>195</v>
      </c>
      <c r="D64" s="7" t="s">
        <v>200</v>
      </c>
      <c r="E64" s="7" t="s">
        <v>43</v>
      </c>
      <c r="F64" s="77">
        <v>80111600</v>
      </c>
      <c r="G64" s="7" t="s">
        <v>201</v>
      </c>
      <c r="H64" s="7">
        <v>2</v>
      </c>
      <c r="I64" s="7">
        <v>2</v>
      </c>
      <c r="J64" s="7">
        <v>10</v>
      </c>
      <c r="K64" s="7">
        <v>1</v>
      </c>
      <c r="L64" s="7" t="s">
        <v>45</v>
      </c>
      <c r="M64" s="7" t="s">
        <v>46</v>
      </c>
      <c r="N64" s="153">
        <f>3130298*10</f>
        <v>31302980</v>
      </c>
      <c r="O64" s="7">
        <v>0</v>
      </c>
      <c r="P64" s="7">
        <v>0</v>
      </c>
      <c r="Q64" s="7" t="s">
        <v>47</v>
      </c>
      <c r="R64" s="7" t="s">
        <v>48</v>
      </c>
      <c r="S64" s="90" t="s">
        <v>49</v>
      </c>
      <c r="T64" s="90">
        <v>3846666</v>
      </c>
      <c r="U64" s="68" t="s">
        <v>50</v>
      </c>
      <c r="V64" s="7" t="s">
        <v>51</v>
      </c>
      <c r="W64" s="7" t="s">
        <v>52</v>
      </c>
      <c r="X64" s="90" t="s">
        <v>82</v>
      </c>
      <c r="Y64" s="7"/>
      <c r="Z64" s="7"/>
      <c r="AA64" s="7"/>
      <c r="AB64" s="8">
        <f t="shared" si="9"/>
        <v>31302980</v>
      </c>
      <c r="AC64" s="174">
        <v>6121</v>
      </c>
      <c r="AD64" s="175">
        <f>31302980-1000</f>
        <v>31301980</v>
      </c>
      <c r="AE64" s="175">
        <f t="shared" si="2"/>
        <v>1000</v>
      </c>
      <c r="AF64" s="259">
        <v>6821</v>
      </c>
      <c r="AG64" s="260">
        <v>44256</v>
      </c>
      <c r="AH64" s="261">
        <v>31301980</v>
      </c>
      <c r="AI64" s="261">
        <f t="shared" si="3"/>
        <v>1000</v>
      </c>
      <c r="AJ64" s="259" t="s">
        <v>202</v>
      </c>
      <c r="AK64" s="259" t="s">
        <v>203</v>
      </c>
      <c r="AL64" s="275">
        <f>3130198+3130198+3130198+3130198+3130198+3130198+3130198+3130198+3130198+3130198</f>
        <v>31301980</v>
      </c>
      <c r="AM64" s="7"/>
      <c r="AN64" s="216"/>
    </row>
    <row r="65" spans="1:40" ht="109.2" customHeight="1" x14ac:dyDescent="0.3">
      <c r="A65" s="7" t="s">
        <v>194</v>
      </c>
      <c r="B65" s="62" t="s">
        <v>40</v>
      </c>
      <c r="C65" s="142" t="s">
        <v>195</v>
      </c>
      <c r="D65" s="7" t="s">
        <v>204</v>
      </c>
      <c r="E65" s="7" t="s">
        <v>43</v>
      </c>
      <c r="F65" s="77">
        <v>80111600</v>
      </c>
      <c r="G65" s="7" t="s">
        <v>205</v>
      </c>
      <c r="H65" s="7">
        <v>2</v>
      </c>
      <c r="I65" s="7">
        <v>2</v>
      </c>
      <c r="J65" s="7">
        <v>10</v>
      </c>
      <c r="K65" s="7">
        <v>1</v>
      </c>
      <c r="L65" s="7" t="s">
        <v>45</v>
      </c>
      <c r="M65" s="7" t="s">
        <v>46</v>
      </c>
      <c r="N65" s="153">
        <f>3130298*10</f>
        <v>31302980</v>
      </c>
      <c r="O65" s="7">
        <v>0</v>
      </c>
      <c r="P65" s="7">
        <v>0</v>
      </c>
      <c r="Q65" s="7" t="s">
        <v>47</v>
      </c>
      <c r="R65" s="7" t="s">
        <v>48</v>
      </c>
      <c r="S65" s="90" t="s">
        <v>49</v>
      </c>
      <c r="T65" s="90">
        <v>3846666</v>
      </c>
      <c r="U65" s="68" t="s">
        <v>50</v>
      </c>
      <c r="V65" s="7" t="s">
        <v>51</v>
      </c>
      <c r="W65" s="7" t="s">
        <v>52</v>
      </c>
      <c r="X65" s="7" t="s">
        <v>82</v>
      </c>
      <c r="Y65" s="7"/>
      <c r="Z65" s="7"/>
      <c r="AA65" s="7"/>
      <c r="AB65" s="8">
        <f t="shared" si="9"/>
        <v>31302980</v>
      </c>
      <c r="AC65" s="174">
        <v>6721</v>
      </c>
      <c r="AD65" s="175">
        <v>30259547</v>
      </c>
      <c r="AE65" s="175">
        <f t="shared" si="2"/>
        <v>1043433</v>
      </c>
      <c r="AF65" s="259">
        <v>7521</v>
      </c>
      <c r="AG65" s="260">
        <v>44267</v>
      </c>
      <c r="AH65" s="261">
        <v>30259547</v>
      </c>
      <c r="AI65" s="261">
        <f t="shared" si="3"/>
        <v>1043433</v>
      </c>
      <c r="AJ65" s="259" t="s">
        <v>206</v>
      </c>
      <c r="AK65" s="259" t="s">
        <v>207</v>
      </c>
      <c r="AL65" s="275">
        <f>2086865+3130298+3130298+3130298+3130298+3130298+3130298+3130298+3130298+3130298</f>
        <v>30259547</v>
      </c>
      <c r="AM65" s="7"/>
      <c r="AN65" s="216"/>
    </row>
    <row r="66" spans="1:40" ht="109.2" customHeight="1" x14ac:dyDescent="0.3">
      <c r="A66" s="7" t="s">
        <v>194</v>
      </c>
      <c r="B66" s="62" t="s">
        <v>40</v>
      </c>
      <c r="C66" s="142" t="s">
        <v>195</v>
      </c>
      <c r="D66" s="7" t="s">
        <v>204</v>
      </c>
      <c r="E66" s="7" t="s">
        <v>43</v>
      </c>
      <c r="F66" s="77">
        <v>80111600</v>
      </c>
      <c r="G66" s="7" t="s">
        <v>208</v>
      </c>
      <c r="H66" s="7">
        <v>1</v>
      </c>
      <c r="I66" s="7">
        <v>1</v>
      </c>
      <c r="J66" s="7">
        <v>11</v>
      </c>
      <c r="K66" s="7">
        <v>1</v>
      </c>
      <c r="L66" s="7" t="s">
        <v>45</v>
      </c>
      <c r="M66" s="7" t="s">
        <v>46</v>
      </c>
      <c r="N66" s="153">
        <f>1800000*11</f>
        <v>19800000</v>
      </c>
      <c r="O66" s="7">
        <v>0</v>
      </c>
      <c r="P66" s="7">
        <v>0</v>
      </c>
      <c r="Q66" s="7" t="s">
        <v>47</v>
      </c>
      <c r="R66" s="7" t="s">
        <v>48</v>
      </c>
      <c r="S66" s="90" t="s">
        <v>49</v>
      </c>
      <c r="T66" s="90">
        <v>3846666</v>
      </c>
      <c r="U66" s="68" t="s">
        <v>50</v>
      </c>
      <c r="V66" s="7" t="s">
        <v>51</v>
      </c>
      <c r="W66" s="7" t="s">
        <v>102</v>
      </c>
      <c r="X66" s="7" t="s">
        <v>82</v>
      </c>
      <c r="Y66" s="7"/>
      <c r="Z66" s="7"/>
      <c r="AA66" s="7"/>
      <c r="AB66" s="8">
        <f t="shared" si="9"/>
        <v>19800000</v>
      </c>
      <c r="AC66" s="174">
        <v>3121</v>
      </c>
      <c r="AD66" s="175">
        <v>19800000</v>
      </c>
      <c r="AE66" s="175">
        <f t="shared" si="2"/>
        <v>0</v>
      </c>
      <c r="AF66" s="259">
        <v>3721</v>
      </c>
      <c r="AG66" s="260">
        <v>44225</v>
      </c>
      <c r="AH66" s="261">
        <v>19800000</v>
      </c>
      <c r="AI66" s="261">
        <f t="shared" si="3"/>
        <v>0</v>
      </c>
      <c r="AJ66" s="259" t="s">
        <v>209</v>
      </c>
      <c r="AK66" s="259" t="s">
        <v>210</v>
      </c>
      <c r="AL66" s="275">
        <f>1800000+1800000+1800000+1800000+1800000+1800000+1800000+1800000+1800000+1800000+1800000</f>
        <v>19800000</v>
      </c>
      <c r="AM66" s="7"/>
      <c r="AN66" s="216"/>
    </row>
    <row r="67" spans="1:40" ht="155.4" customHeight="1" x14ac:dyDescent="0.3">
      <c r="A67" s="7" t="s">
        <v>194</v>
      </c>
      <c r="B67" s="62" t="s">
        <v>40</v>
      </c>
      <c r="C67" s="142" t="s">
        <v>195</v>
      </c>
      <c r="D67" s="7" t="s">
        <v>204</v>
      </c>
      <c r="E67" s="7" t="s">
        <v>43</v>
      </c>
      <c r="F67" s="7">
        <v>94131503</v>
      </c>
      <c r="G67" s="7" t="s">
        <v>977</v>
      </c>
      <c r="H67" s="7">
        <v>7</v>
      </c>
      <c r="I67" s="7">
        <v>7</v>
      </c>
      <c r="J67" s="7">
        <v>1</v>
      </c>
      <c r="K67" s="7">
        <v>1</v>
      </c>
      <c r="L67" s="7" t="s">
        <v>45</v>
      </c>
      <c r="M67" s="7" t="s">
        <v>46</v>
      </c>
      <c r="N67" s="153">
        <v>11919856</v>
      </c>
      <c r="O67" s="7">
        <v>0</v>
      </c>
      <c r="P67" s="7">
        <v>0</v>
      </c>
      <c r="Q67" s="7" t="s">
        <v>47</v>
      </c>
      <c r="R67" s="7" t="s">
        <v>48</v>
      </c>
      <c r="S67" s="90" t="s">
        <v>49</v>
      </c>
      <c r="T67" s="90">
        <v>3846666</v>
      </c>
      <c r="U67" s="68" t="s">
        <v>50</v>
      </c>
      <c r="V67" s="7" t="s">
        <v>51</v>
      </c>
      <c r="W67" s="7" t="s">
        <v>211</v>
      </c>
      <c r="X67" s="7" t="s">
        <v>82</v>
      </c>
      <c r="Y67" s="7"/>
      <c r="Z67" s="7"/>
      <c r="AA67" s="7"/>
      <c r="AB67" s="8">
        <f t="shared" si="9"/>
        <v>11919856</v>
      </c>
      <c r="AC67" s="174">
        <v>25121</v>
      </c>
      <c r="AD67" s="175">
        <v>10731000</v>
      </c>
      <c r="AE67" s="175">
        <f t="shared" si="2"/>
        <v>1188856</v>
      </c>
      <c r="AF67" s="259">
        <v>28421</v>
      </c>
      <c r="AG67" s="260">
        <v>44540</v>
      </c>
      <c r="AH67" s="261">
        <v>10731000</v>
      </c>
      <c r="AI67" s="261">
        <f t="shared" si="3"/>
        <v>1188856</v>
      </c>
      <c r="AJ67" s="259" t="s">
        <v>1010</v>
      </c>
      <c r="AK67" s="259" t="s">
        <v>1011</v>
      </c>
      <c r="AL67" s="233"/>
      <c r="AM67" s="232" t="s">
        <v>960</v>
      </c>
      <c r="AN67" s="216"/>
    </row>
    <row r="68" spans="1:40" ht="109.2" customHeight="1" x14ac:dyDescent="0.3">
      <c r="A68" s="7" t="s">
        <v>194</v>
      </c>
      <c r="B68" s="62" t="s">
        <v>40</v>
      </c>
      <c r="C68" s="142" t="s">
        <v>195</v>
      </c>
      <c r="D68" s="7" t="s">
        <v>204</v>
      </c>
      <c r="E68" s="7" t="s">
        <v>43</v>
      </c>
      <c r="F68" s="7" t="s">
        <v>65</v>
      </c>
      <c r="G68" s="7" t="s">
        <v>66</v>
      </c>
      <c r="H68" s="7" t="s">
        <v>65</v>
      </c>
      <c r="I68" s="7" t="s">
        <v>65</v>
      </c>
      <c r="J68" s="7" t="s">
        <v>65</v>
      </c>
      <c r="K68" s="7" t="s">
        <v>65</v>
      </c>
      <c r="L68" s="7" t="s">
        <v>67</v>
      </c>
      <c r="M68" s="7" t="s">
        <v>46</v>
      </c>
      <c r="N68" s="153">
        <v>10829142</v>
      </c>
      <c r="O68" s="7">
        <v>0</v>
      </c>
      <c r="P68" s="7">
        <v>0</v>
      </c>
      <c r="Q68" s="7" t="s">
        <v>47</v>
      </c>
      <c r="R68" s="7" t="s">
        <v>48</v>
      </c>
      <c r="S68" s="90" t="s">
        <v>49</v>
      </c>
      <c r="T68" s="90">
        <v>3846666</v>
      </c>
      <c r="U68" s="68" t="s">
        <v>50</v>
      </c>
      <c r="V68" s="7" t="s">
        <v>51</v>
      </c>
      <c r="W68" s="7" t="s">
        <v>68</v>
      </c>
      <c r="X68" s="7" t="s">
        <v>65</v>
      </c>
      <c r="Y68" s="7"/>
      <c r="Z68" s="7"/>
      <c r="AA68" s="258">
        <v>6000000</v>
      </c>
      <c r="AB68" s="8">
        <f t="shared" si="9"/>
        <v>4829142</v>
      </c>
      <c r="AC68" s="174" t="s">
        <v>939</v>
      </c>
      <c r="AD68" s="175">
        <f>864024+1110888+975219+696585-696585+537450+696585+617160</f>
        <v>4801326</v>
      </c>
      <c r="AE68" s="175">
        <f t="shared" si="2"/>
        <v>27816</v>
      </c>
      <c r="AF68" s="259" t="s">
        <v>957</v>
      </c>
      <c r="AG68" s="261" t="s">
        <v>958</v>
      </c>
      <c r="AH68" s="261">
        <f>864024+1110888+975219+696585-696585+537450+696585+617160</f>
        <v>4801326</v>
      </c>
      <c r="AI68" s="261">
        <f t="shared" si="3"/>
        <v>27816</v>
      </c>
      <c r="AJ68" s="294" t="s">
        <v>959</v>
      </c>
      <c r="AK68" s="293" t="s">
        <v>924</v>
      </c>
      <c r="AL68" s="275">
        <f>864024+1110888+975219+696585-696585+537450+696585+617160</f>
        <v>4801326</v>
      </c>
      <c r="AM68" s="232" t="s">
        <v>960</v>
      </c>
      <c r="AN68" s="216"/>
    </row>
    <row r="69" spans="1:40" ht="109.2" customHeight="1" x14ac:dyDescent="0.3">
      <c r="A69" s="7" t="s">
        <v>194</v>
      </c>
      <c r="B69" s="62" t="s">
        <v>40</v>
      </c>
      <c r="C69" s="142" t="s">
        <v>195</v>
      </c>
      <c r="D69" s="7" t="s">
        <v>204</v>
      </c>
      <c r="E69" s="7" t="s">
        <v>43</v>
      </c>
      <c r="F69" s="7" t="s">
        <v>65</v>
      </c>
      <c r="G69" s="7" t="s">
        <v>69</v>
      </c>
      <c r="H69" s="7" t="s">
        <v>65</v>
      </c>
      <c r="I69" s="7" t="s">
        <v>65</v>
      </c>
      <c r="J69" s="7" t="s">
        <v>65</v>
      </c>
      <c r="K69" s="7" t="s">
        <v>65</v>
      </c>
      <c r="L69" s="7" t="s">
        <v>67</v>
      </c>
      <c r="M69" s="7" t="s">
        <v>46</v>
      </c>
      <c r="N69" s="153">
        <v>1010000</v>
      </c>
      <c r="O69" s="7">
        <v>0</v>
      </c>
      <c r="P69" s="7">
        <v>0</v>
      </c>
      <c r="Q69" s="7" t="s">
        <v>47</v>
      </c>
      <c r="R69" s="7" t="s">
        <v>48</v>
      </c>
      <c r="S69" s="90" t="s">
        <v>49</v>
      </c>
      <c r="T69" s="90">
        <v>3846666</v>
      </c>
      <c r="U69" s="68" t="s">
        <v>50</v>
      </c>
      <c r="V69" s="7" t="s">
        <v>51</v>
      </c>
      <c r="W69" s="7" t="s">
        <v>70</v>
      </c>
      <c r="X69" s="7" t="s">
        <v>65</v>
      </c>
      <c r="Y69" s="7"/>
      <c r="Z69" s="235">
        <v>30000</v>
      </c>
      <c r="AA69" s="235"/>
      <c r="AB69" s="8">
        <f t="shared" si="9"/>
        <v>1040000</v>
      </c>
      <c r="AC69" s="174" t="s">
        <v>975</v>
      </c>
      <c r="AD69" s="175">
        <f>140000+70000+70000+60000-60000+80000+120000+80000+180000+60000+60000+60000+60000+60000</f>
        <v>1040000</v>
      </c>
      <c r="AE69" s="175">
        <f t="shared" si="2"/>
        <v>0</v>
      </c>
      <c r="AF69" s="259" t="s">
        <v>989</v>
      </c>
      <c r="AG69" s="261" t="s">
        <v>988</v>
      </c>
      <c r="AH69" s="261">
        <f>140000+70000+70000+60000-60000+80000+120000+80000+180000+60000+60000+60000+60000+60000</f>
        <v>1040000</v>
      </c>
      <c r="AI69" s="261">
        <f t="shared" si="3"/>
        <v>0</v>
      </c>
      <c r="AJ69" s="294" t="s">
        <v>990</v>
      </c>
      <c r="AK69" s="259" t="s">
        <v>835</v>
      </c>
      <c r="AL69" s="275">
        <f>140000+70000+70000+60000-60000+80000+120000+80000+180000+60000+60000+60000+60000+60000</f>
        <v>1040000</v>
      </c>
      <c r="AM69" s="7" t="s">
        <v>960</v>
      </c>
      <c r="AN69" s="216"/>
    </row>
    <row r="70" spans="1:40" ht="113.25" customHeight="1" x14ac:dyDescent="0.3">
      <c r="A70" s="80" t="s">
        <v>212</v>
      </c>
      <c r="B70" s="61" t="s">
        <v>213</v>
      </c>
      <c r="C70" s="139" t="s">
        <v>214</v>
      </c>
      <c r="D70" s="64" t="s">
        <v>215</v>
      </c>
      <c r="E70" s="7" t="s">
        <v>216</v>
      </c>
      <c r="F70" s="7">
        <v>80111600</v>
      </c>
      <c r="G70" s="7" t="s">
        <v>217</v>
      </c>
      <c r="H70" s="67">
        <v>1</v>
      </c>
      <c r="I70" s="67">
        <v>1</v>
      </c>
      <c r="J70" s="67">
        <v>11</v>
      </c>
      <c r="K70" s="67">
        <v>1</v>
      </c>
      <c r="L70" s="7" t="s">
        <v>45</v>
      </c>
      <c r="M70" s="7" t="s">
        <v>46</v>
      </c>
      <c r="N70" s="154">
        <f>2288000*11</f>
        <v>25168000</v>
      </c>
      <c r="O70" s="7">
        <v>0</v>
      </c>
      <c r="P70" s="7">
        <v>0</v>
      </c>
      <c r="Q70" s="7" t="s">
        <v>47</v>
      </c>
      <c r="R70" s="7" t="s">
        <v>48</v>
      </c>
      <c r="S70" s="90" t="s">
        <v>144</v>
      </c>
      <c r="T70" s="90">
        <v>3846666</v>
      </c>
      <c r="U70" s="68" t="s">
        <v>145</v>
      </c>
      <c r="V70" s="7" t="s">
        <v>51</v>
      </c>
      <c r="W70" s="69" t="s">
        <v>218</v>
      </c>
      <c r="X70" s="7" t="s">
        <v>219</v>
      </c>
      <c r="Y70" s="7"/>
      <c r="Z70" s="7"/>
      <c r="AA70" s="258">
        <v>530</v>
      </c>
      <c r="AB70" s="8">
        <f t="shared" si="9"/>
        <v>25167470</v>
      </c>
      <c r="AC70" s="174">
        <v>4421</v>
      </c>
      <c r="AD70" s="175">
        <v>25167470</v>
      </c>
      <c r="AE70" s="175">
        <f t="shared" si="2"/>
        <v>0</v>
      </c>
      <c r="AF70" s="259">
        <v>4921</v>
      </c>
      <c r="AG70" s="260">
        <v>44232</v>
      </c>
      <c r="AH70" s="261">
        <v>25167470</v>
      </c>
      <c r="AI70" s="261">
        <f t="shared" si="3"/>
        <v>0</v>
      </c>
      <c r="AJ70" s="259" t="s">
        <v>220</v>
      </c>
      <c r="AK70" s="259" t="s">
        <v>221</v>
      </c>
      <c r="AL70" s="275">
        <f>1646470+2352100+2352100+2352100+2352100+2352100+2352100+2352100+2352100+2352100+2352100</f>
        <v>25167470</v>
      </c>
      <c r="AM70" s="7" t="s">
        <v>960</v>
      </c>
      <c r="AN70" s="216"/>
    </row>
    <row r="71" spans="1:40" ht="104.25" customHeight="1" x14ac:dyDescent="0.3">
      <c r="A71" s="80" t="s">
        <v>212</v>
      </c>
      <c r="B71" s="61" t="s">
        <v>213</v>
      </c>
      <c r="C71" s="139" t="s">
        <v>214</v>
      </c>
      <c r="D71" s="64" t="s">
        <v>215</v>
      </c>
      <c r="E71" s="7" t="s">
        <v>216</v>
      </c>
      <c r="F71" s="7">
        <v>44111515</v>
      </c>
      <c r="G71" s="7" t="s">
        <v>222</v>
      </c>
      <c r="H71" s="67">
        <v>2</v>
      </c>
      <c r="I71" s="67">
        <v>3</v>
      </c>
      <c r="J71" s="67">
        <v>1</v>
      </c>
      <c r="K71" s="67">
        <v>1</v>
      </c>
      <c r="L71" s="7" t="s">
        <v>154</v>
      </c>
      <c r="M71" s="83" t="s">
        <v>46</v>
      </c>
      <c r="N71" s="154">
        <v>29500000</v>
      </c>
      <c r="O71" s="7">
        <v>0</v>
      </c>
      <c r="P71" s="7">
        <v>0</v>
      </c>
      <c r="Q71" s="7" t="s">
        <v>47</v>
      </c>
      <c r="R71" s="7" t="s">
        <v>48</v>
      </c>
      <c r="S71" s="90" t="s">
        <v>144</v>
      </c>
      <c r="T71" s="90">
        <v>3846666</v>
      </c>
      <c r="U71" s="68" t="s">
        <v>145</v>
      </c>
      <c r="V71" s="7" t="s">
        <v>51</v>
      </c>
      <c r="W71" s="7" t="s">
        <v>223</v>
      </c>
      <c r="X71" s="7" t="s">
        <v>219</v>
      </c>
      <c r="Y71" s="7"/>
      <c r="Z71" s="7"/>
      <c r="AA71" s="258">
        <v>2380938</v>
      </c>
      <c r="AB71" s="8">
        <f t="shared" si="9"/>
        <v>27119062</v>
      </c>
      <c r="AC71" s="174">
        <v>16321</v>
      </c>
      <c r="AD71" s="175">
        <f>28367220-1248158</f>
        <v>27119062</v>
      </c>
      <c r="AE71" s="175">
        <f t="shared" si="2"/>
        <v>0</v>
      </c>
      <c r="AF71" s="259">
        <v>20621</v>
      </c>
      <c r="AG71" s="260">
        <v>44462</v>
      </c>
      <c r="AH71" s="261">
        <v>27119062</v>
      </c>
      <c r="AI71" s="261">
        <f t="shared" si="3"/>
        <v>0</v>
      </c>
      <c r="AJ71" s="259" t="s">
        <v>895</v>
      </c>
      <c r="AK71" s="259" t="s">
        <v>896</v>
      </c>
      <c r="AL71" s="275">
        <v>27119062</v>
      </c>
      <c r="AM71" s="7" t="s">
        <v>960</v>
      </c>
      <c r="AN71" s="216"/>
    </row>
    <row r="72" spans="1:40" ht="104.25" customHeight="1" x14ac:dyDescent="0.3">
      <c r="A72" s="80" t="s">
        <v>212</v>
      </c>
      <c r="B72" s="61" t="s">
        <v>213</v>
      </c>
      <c r="C72" s="139" t="s">
        <v>214</v>
      </c>
      <c r="D72" s="64" t="s">
        <v>224</v>
      </c>
      <c r="E72" s="7" t="s">
        <v>216</v>
      </c>
      <c r="F72" s="7">
        <v>80111600</v>
      </c>
      <c r="G72" s="7" t="s">
        <v>225</v>
      </c>
      <c r="H72" s="67">
        <v>1</v>
      </c>
      <c r="I72" s="67">
        <v>1</v>
      </c>
      <c r="J72" s="67">
        <v>11</v>
      </c>
      <c r="K72" s="67">
        <v>1</v>
      </c>
      <c r="L72" s="7" t="s">
        <v>45</v>
      </c>
      <c r="M72" s="7" t="s">
        <v>46</v>
      </c>
      <c r="N72" s="154">
        <f>2652937*11</f>
        <v>29182307</v>
      </c>
      <c r="O72" s="7">
        <v>0</v>
      </c>
      <c r="P72" s="7">
        <v>0</v>
      </c>
      <c r="Q72" s="7" t="s">
        <v>47</v>
      </c>
      <c r="R72" s="7" t="s">
        <v>48</v>
      </c>
      <c r="S72" s="90" t="s">
        <v>144</v>
      </c>
      <c r="T72" s="90">
        <v>3846666</v>
      </c>
      <c r="U72" s="68" t="s">
        <v>145</v>
      </c>
      <c r="V72" s="7" t="s">
        <v>51</v>
      </c>
      <c r="W72" s="69" t="s">
        <v>73</v>
      </c>
      <c r="X72" s="69" t="s">
        <v>219</v>
      </c>
      <c r="Y72" s="7"/>
      <c r="Z72" s="7"/>
      <c r="AA72" s="258">
        <v>3407</v>
      </c>
      <c r="AB72" s="8">
        <f t="shared" si="9"/>
        <v>29178900</v>
      </c>
      <c r="AC72" s="174">
        <v>4321</v>
      </c>
      <c r="AD72" s="175">
        <v>29178900</v>
      </c>
      <c r="AE72" s="175">
        <f t="shared" si="2"/>
        <v>0</v>
      </c>
      <c r="AF72" s="259">
        <v>4821</v>
      </c>
      <c r="AG72" s="260">
        <v>44232</v>
      </c>
      <c r="AH72" s="261">
        <v>29178900</v>
      </c>
      <c r="AI72" s="261">
        <f t="shared" si="3"/>
        <v>0</v>
      </c>
      <c r="AJ72" s="259" t="s">
        <v>226</v>
      </c>
      <c r="AK72" s="259" t="s">
        <v>227</v>
      </c>
      <c r="AL72" s="275">
        <f>1908900+2727000+2727000+2727000+2727000+2727000+2727000+2727000+2727000+2727000+2727000</f>
        <v>29178900</v>
      </c>
      <c r="AM72" s="7" t="s">
        <v>960</v>
      </c>
      <c r="AN72" s="216"/>
    </row>
    <row r="73" spans="1:40" ht="104.25" customHeight="1" x14ac:dyDescent="0.3">
      <c r="A73" s="7" t="s">
        <v>228</v>
      </c>
      <c r="B73" s="61" t="s">
        <v>213</v>
      </c>
      <c r="C73" s="142" t="s">
        <v>229</v>
      </c>
      <c r="D73" s="64" t="s">
        <v>230</v>
      </c>
      <c r="E73" s="7" t="s">
        <v>231</v>
      </c>
      <c r="F73" s="7">
        <v>93141808</v>
      </c>
      <c r="G73" s="66" t="s">
        <v>232</v>
      </c>
      <c r="H73" s="67">
        <v>10</v>
      </c>
      <c r="I73" s="67">
        <v>10</v>
      </c>
      <c r="J73" s="67">
        <v>2</v>
      </c>
      <c r="K73" s="67">
        <v>1</v>
      </c>
      <c r="L73" s="7" t="s">
        <v>182</v>
      </c>
      <c r="M73" s="7" t="s">
        <v>119</v>
      </c>
      <c r="N73" s="154">
        <v>7500000</v>
      </c>
      <c r="O73" s="7">
        <v>0</v>
      </c>
      <c r="P73" s="7">
        <v>0</v>
      </c>
      <c r="Q73" s="7" t="s">
        <v>47</v>
      </c>
      <c r="R73" s="7" t="s">
        <v>48</v>
      </c>
      <c r="S73" s="90" t="s">
        <v>144</v>
      </c>
      <c r="T73" s="90">
        <v>3846666</v>
      </c>
      <c r="U73" s="68" t="s">
        <v>145</v>
      </c>
      <c r="V73" s="7" t="s">
        <v>51</v>
      </c>
      <c r="W73" s="69" t="s">
        <v>85</v>
      </c>
      <c r="X73" s="69" t="s">
        <v>233</v>
      </c>
      <c r="Y73" s="7"/>
      <c r="Z73" s="7"/>
      <c r="AA73" s="303">
        <v>13275</v>
      </c>
      <c r="AB73" s="8">
        <f t="shared" si="9"/>
        <v>7486725</v>
      </c>
      <c r="AC73" s="174">
        <v>19621</v>
      </c>
      <c r="AD73" s="175">
        <v>7486725</v>
      </c>
      <c r="AE73" s="175">
        <f t="shared" si="2"/>
        <v>0</v>
      </c>
      <c r="AF73" s="259">
        <v>21921</v>
      </c>
      <c r="AG73" s="260">
        <v>44469</v>
      </c>
      <c r="AH73" s="261">
        <v>7486725</v>
      </c>
      <c r="AI73" s="261">
        <f t="shared" si="3"/>
        <v>0</v>
      </c>
      <c r="AJ73" s="259" t="s">
        <v>923</v>
      </c>
      <c r="AK73" s="259" t="s">
        <v>588</v>
      </c>
      <c r="AL73" s="275">
        <v>5362643</v>
      </c>
      <c r="AM73" s="232" t="s">
        <v>960</v>
      </c>
      <c r="AN73" s="216"/>
    </row>
    <row r="74" spans="1:40" ht="104.25" customHeight="1" x14ac:dyDescent="0.3">
      <c r="A74" s="7" t="s">
        <v>228</v>
      </c>
      <c r="B74" s="61" t="s">
        <v>213</v>
      </c>
      <c r="C74" s="142" t="s">
        <v>229</v>
      </c>
      <c r="D74" s="7" t="s">
        <v>234</v>
      </c>
      <c r="E74" s="7" t="s">
        <v>231</v>
      </c>
      <c r="F74" s="7" t="s">
        <v>235</v>
      </c>
      <c r="G74" s="66" t="s">
        <v>236</v>
      </c>
      <c r="H74" s="67">
        <v>4</v>
      </c>
      <c r="I74" s="67">
        <v>4</v>
      </c>
      <c r="J74" s="67">
        <v>8</v>
      </c>
      <c r="K74" s="67">
        <v>1</v>
      </c>
      <c r="L74" s="7" t="s">
        <v>182</v>
      </c>
      <c r="M74" s="7" t="s">
        <v>119</v>
      </c>
      <c r="N74" s="154">
        <v>14109525</v>
      </c>
      <c r="O74" s="7">
        <v>0</v>
      </c>
      <c r="P74" s="7">
        <v>0</v>
      </c>
      <c r="Q74" s="7" t="s">
        <v>47</v>
      </c>
      <c r="R74" s="7" t="s">
        <v>48</v>
      </c>
      <c r="S74" s="90" t="s">
        <v>144</v>
      </c>
      <c r="T74" s="90">
        <v>3846666</v>
      </c>
      <c r="U74" s="68" t="s">
        <v>145</v>
      </c>
      <c r="V74" s="7" t="s">
        <v>51</v>
      </c>
      <c r="W74" s="69" t="s">
        <v>85</v>
      </c>
      <c r="X74" s="69" t="s">
        <v>233</v>
      </c>
      <c r="Y74" s="7"/>
      <c r="Z74" s="7"/>
      <c r="AA74" s="7"/>
      <c r="AB74" s="8">
        <f t="shared" si="9"/>
        <v>14109525</v>
      </c>
      <c r="AC74" s="174">
        <v>19621</v>
      </c>
      <c r="AD74" s="175">
        <v>14109525</v>
      </c>
      <c r="AE74" s="175">
        <f t="shared" si="2"/>
        <v>0</v>
      </c>
      <c r="AF74" s="259">
        <v>21921</v>
      </c>
      <c r="AG74" s="260">
        <v>44469</v>
      </c>
      <c r="AH74" s="261">
        <v>14109525</v>
      </c>
      <c r="AI74" s="261">
        <f t="shared" si="3"/>
        <v>0</v>
      </c>
      <c r="AJ74" s="259" t="s">
        <v>923</v>
      </c>
      <c r="AK74" s="259" t="s">
        <v>588</v>
      </c>
      <c r="AL74" s="275">
        <v>10550206</v>
      </c>
      <c r="AM74" s="232"/>
      <c r="AN74" s="216"/>
    </row>
    <row r="75" spans="1:40" ht="204" customHeight="1" x14ac:dyDescent="0.3">
      <c r="A75" s="7" t="s">
        <v>237</v>
      </c>
      <c r="B75" s="61" t="s">
        <v>213</v>
      </c>
      <c r="C75" s="134" t="s">
        <v>238</v>
      </c>
      <c r="D75" s="64" t="s">
        <v>239</v>
      </c>
      <c r="E75" s="7" t="s">
        <v>231</v>
      </c>
      <c r="F75" s="65">
        <v>80111600</v>
      </c>
      <c r="G75" s="66" t="s">
        <v>240</v>
      </c>
      <c r="H75" s="67">
        <v>1</v>
      </c>
      <c r="I75" s="67">
        <v>1</v>
      </c>
      <c r="J75" s="67">
        <v>11</v>
      </c>
      <c r="K75" s="67">
        <v>1</v>
      </c>
      <c r="L75" s="7" t="s">
        <v>45</v>
      </c>
      <c r="M75" s="7" t="s">
        <v>46</v>
      </c>
      <c r="N75" s="154">
        <f>2914982*11</f>
        <v>32064802</v>
      </c>
      <c r="O75" s="7">
        <v>0</v>
      </c>
      <c r="P75" s="7">
        <v>0</v>
      </c>
      <c r="Q75" s="7" t="s">
        <v>47</v>
      </c>
      <c r="R75" s="7" t="s">
        <v>48</v>
      </c>
      <c r="S75" s="90" t="s">
        <v>144</v>
      </c>
      <c r="T75" s="90">
        <v>3846666</v>
      </c>
      <c r="U75" s="68" t="s">
        <v>145</v>
      </c>
      <c r="V75" s="7" t="s">
        <v>51</v>
      </c>
      <c r="W75" s="69" t="s">
        <v>52</v>
      </c>
      <c r="X75" s="69" t="s">
        <v>233</v>
      </c>
      <c r="Y75" s="7"/>
      <c r="Z75" s="7"/>
      <c r="AA75" s="7"/>
      <c r="AB75" s="8">
        <f t="shared" si="9"/>
        <v>32064802</v>
      </c>
      <c r="AC75" s="174">
        <v>1621</v>
      </c>
      <c r="AD75" s="175">
        <v>32064802</v>
      </c>
      <c r="AE75" s="175">
        <f t="shared" si="2"/>
        <v>0</v>
      </c>
      <c r="AF75" s="259">
        <v>1621</v>
      </c>
      <c r="AG75" s="260">
        <v>44218</v>
      </c>
      <c r="AH75" s="261">
        <v>32064802</v>
      </c>
      <c r="AI75" s="261">
        <f t="shared" si="3"/>
        <v>0</v>
      </c>
      <c r="AJ75" s="259" t="s">
        <v>241</v>
      </c>
      <c r="AK75" s="259" t="s">
        <v>242</v>
      </c>
      <c r="AL75" s="275">
        <f>582996+2914982+2914982+2914982+2914982+2914982+2914982+2914982+2914982+2914982+2914982+2331986</f>
        <v>32064802</v>
      </c>
      <c r="AM75" s="7"/>
      <c r="AN75" s="216"/>
    </row>
    <row r="76" spans="1:40" ht="104.25" customHeight="1" x14ac:dyDescent="0.3">
      <c r="A76" s="7" t="s">
        <v>237</v>
      </c>
      <c r="B76" s="61" t="s">
        <v>213</v>
      </c>
      <c r="C76" s="134" t="s">
        <v>238</v>
      </c>
      <c r="D76" s="70" t="s">
        <v>243</v>
      </c>
      <c r="E76" s="7" t="s">
        <v>231</v>
      </c>
      <c r="F76" s="65">
        <v>80111600</v>
      </c>
      <c r="G76" s="71" t="s">
        <v>244</v>
      </c>
      <c r="H76" s="67">
        <v>2</v>
      </c>
      <c r="I76" s="72">
        <v>2</v>
      </c>
      <c r="J76" s="72">
        <v>4</v>
      </c>
      <c r="K76" s="72">
        <v>1</v>
      </c>
      <c r="L76" s="63" t="s">
        <v>45</v>
      </c>
      <c r="M76" s="7" t="s">
        <v>46</v>
      </c>
      <c r="N76" s="154">
        <f>3130298*4</f>
        <v>12521192</v>
      </c>
      <c r="O76" s="7">
        <v>0</v>
      </c>
      <c r="P76" s="7">
        <v>0</v>
      </c>
      <c r="Q76" s="7" t="s">
        <v>47</v>
      </c>
      <c r="R76" s="7" t="s">
        <v>48</v>
      </c>
      <c r="S76" s="90" t="s">
        <v>144</v>
      </c>
      <c r="T76" s="90">
        <v>3846666</v>
      </c>
      <c r="U76" s="68" t="s">
        <v>145</v>
      </c>
      <c r="V76" s="7" t="s">
        <v>51</v>
      </c>
      <c r="W76" s="69" t="s">
        <v>52</v>
      </c>
      <c r="X76" s="69" t="s">
        <v>233</v>
      </c>
      <c r="Y76" s="7"/>
      <c r="Z76" s="7"/>
      <c r="AA76" s="258">
        <v>12521192</v>
      </c>
      <c r="AB76" s="8">
        <f t="shared" si="9"/>
        <v>0</v>
      </c>
      <c r="AC76" s="232"/>
      <c r="AD76" s="233"/>
      <c r="AE76" s="233">
        <f t="shared" si="2"/>
        <v>0</v>
      </c>
      <c r="AF76" s="232"/>
      <c r="AG76" s="232"/>
      <c r="AH76" s="233"/>
      <c r="AI76" s="233">
        <f t="shared" si="3"/>
        <v>0</v>
      </c>
      <c r="AJ76" s="232"/>
      <c r="AK76" s="232"/>
      <c r="AL76" s="233"/>
      <c r="AM76" s="232" t="s">
        <v>798</v>
      </c>
      <c r="AN76" s="216"/>
    </row>
    <row r="77" spans="1:40" ht="104.25" customHeight="1" x14ac:dyDescent="0.3">
      <c r="A77" s="7" t="s">
        <v>237</v>
      </c>
      <c r="B77" s="61" t="s">
        <v>213</v>
      </c>
      <c r="C77" s="134" t="s">
        <v>238</v>
      </c>
      <c r="D77" s="70" t="s">
        <v>243</v>
      </c>
      <c r="E77" s="7" t="s">
        <v>245</v>
      </c>
      <c r="F77" s="7">
        <v>80111600</v>
      </c>
      <c r="G77" s="73" t="s">
        <v>246</v>
      </c>
      <c r="H77" s="67">
        <v>5</v>
      </c>
      <c r="I77" s="72">
        <v>5</v>
      </c>
      <c r="J77" s="72">
        <v>6</v>
      </c>
      <c r="K77" s="72">
        <v>1</v>
      </c>
      <c r="L77" s="74" t="s">
        <v>45</v>
      </c>
      <c r="M77" s="5" t="s">
        <v>46</v>
      </c>
      <c r="N77" s="154">
        <v>24000000</v>
      </c>
      <c r="O77" s="7">
        <v>0</v>
      </c>
      <c r="P77" s="7">
        <v>0</v>
      </c>
      <c r="Q77" s="7" t="s">
        <v>47</v>
      </c>
      <c r="R77" s="7" t="s">
        <v>48</v>
      </c>
      <c r="S77" s="90" t="s">
        <v>247</v>
      </c>
      <c r="T77" s="90">
        <v>3846666</v>
      </c>
      <c r="U77" s="68" t="s">
        <v>248</v>
      </c>
      <c r="V77" s="7" t="s">
        <v>51</v>
      </c>
      <c r="W77" s="75" t="s">
        <v>52</v>
      </c>
      <c r="X77" s="7" t="s">
        <v>247</v>
      </c>
      <c r="Y77" s="7"/>
      <c r="Z77" s="7"/>
      <c r="AA77" s="235">
        <f>20523360+3476640</f>
        <v>24000000</v>
      </c>
      <c r="AB77" s="8">
        <f t="shared" si="9"/>
        <v>0</v>
      </c>
      <c r="AC77" s="232"/>
      <c r="AD77" s="233"/>
      <c r="AE77" s="233">
        <f t="shared" ref="AE77:AE153" si="15">+AB77-AD77</f>
        <v>0</v>
      </c>
      <c r="AF77" s="232"/>
      <c r="AG77" s="232"/>
      <c r="AH77" s="233"/>
      <c r="AI77" s="233">
        <f t="shared" ref="AI77:AI153" si="16">+AB77-AH77</f>
        <v>0</v>
      </c>
      <c r="AJ77" s="232"/>
      <c r="AK77" s="232"/>
      <c r="AL77" s="233"/>
      <c r="AM77" s="232" t="s">
        <v>845</v>
      </c>
      <c r="AN77" s="216"/>
    </row>
    <row r="78" spans="1:40" ht="104.25" customHeight="1" x14ac:dyDescent="0.3">
      <c r="A78" s="7" t="s">
        <v>237</v>
      </c>
      <c r="B78" s="61" t="s">
        <v>213</v>
      </c>
      <c r="C78" s="134" t="s">
        <v>238</v>
      </c>
      <c r="D78" s="70" t="s">
        <v>243</v>
      </c>
      <c r="E78" s="7" t="s">
        <v>249</v>
      </c>
      <c r="F78" s="7">
        <v>80111600</v>
      </c>
      <c r="G78" s="253" t="s">
        <v>250</v>
      </c>
      <c r="H78" s="67">
        <v>6</v>
      </c>
      <c r="I78" s="72">
        <v>6</v>
      </c>
      <c r="J78" s="72">
        <v>6</v>
      </c>
      <c r="K78" s="72">
        <v>1</v>
      </c>
      <c r="L78" s="74" t="s">
        <v>45</v>
      </c>
      <c r="M78" s="7" t="s">
        <v>46</v>
      </c>
      <c r="N78" s="154">
        <v>0</v>
      </c>
      <c r="O78" s="7">
        <v>0</v>
      </c>
      <c r="P78" s="7">
        <v>0</v>
      </c>
      <c r="Q78" s="7" t="s">
        <v>47</v>
      </c>
      <c r="R78" s="7" t="s">
        <v>48</v>
      </c>
      <c r="S78" s="90" t="s">
        <v>247</v>
      </c>
      <c r="T78" s="90">
        <v>3846666</v>
      </c>
      <c r="U78" s="238" t="s">
        <v>251</v>
      </c>
      <c r="V78" s="7" t="s">
        <v>51</v>
      </c>
      <c r="W78" s="75" t="s">
        <v>52</v>
      </c>
      <c r="X78" s="7" t="s">
        <v>247</v>
      </c>
      <c r="Y78" s="235">
        <v>20523360</v>
      </c>
      <c r="Z78" s="7"/>
      <c r="AA78" s="258">
        <v>3420560</v>
      </c>
      <c r="AB78" s="8">
        <f t="shared" si="9"/>
        <v>17102800</v>
      </c>
      <c r="AC78" s="174">
        <v>14721</v>
      </c>
      <c r="AD78" s="175">
        <f>17102800-3420560</f>
        <v>13682240</v>
      </c>
      <c r="AE78" s="175">
        <f t="shared" ref="AE78:AE81" si="17">+AB78-AD78</f>
        <v>3420560</v>
      </c>
      <c r="AF78" s="259">
        <v>15321</v>
      </c>
      <c r="AG78" s="260">
        <v>44407</v>
      </c>
      <c r="AH78" s="261">
        <f>17102800-3420560</f>
        <v>13682240</v>
      </c>
      <c r="AI78" s="261">
        <f t="shared" ref="AI78:AI81" si="18">+AB78-AH78</f>
        <v>3420560</v>
      </c>
      <c r="AJ78" s="259" t="s">
        <v>832</v>
      </c>
      <c r="AK78" s="259" t="s">
        <v>833</v>
      </c>
      <c r="AL78" s="275">
        <f>3420560+3420560+3420560</f>
        <v>10261680</v>
      </c>
      <c r="AM78" s="7" t="s">
        <v>846</v>
      </c>
      <c r="AN78" s="216"/>
    </row>
    <row r="79" spans="1:40" ht="104.25" customHeight="1" x14ac:dyDescent="0.3">
      <c r="A79" s="7" t="s">
        <v>237</v>
      </c>
      <c r="B79" s="61" t="s">
        <v>213</v>
      </c>
      <c r="C79" s="134" t="s">
        <v>238</v>
      </c>
      <c r="D79" s="70" t="s">
        <v>243</v>
      </c>
      <c r="E79" s="90" t="s">
        <v>231</v>
      </c>
      <c r="F79" s="7">
        <v>80111600</v>
      </c>
      <c r="G79" s="256" t="s">
        <v>853</v>
      </c>
      <c r="H79" s="67">
        <v>8</v>
      </c>
      <c r="I79" s="72">
        <v>9</v>
      </c>
      <c r="J79" s="72">
        <v>4</v>
      </c>
      <c r="K79" s="72">
        <v>1</v>
      </c>
      <c r="L79" s="74" t="s">
        <v>45</v>
      </c>
      <c r="M79" s="7" t="s">
        <v>46</v>
      </c>
      <c r="N79" s="154">
        <v>0</v>
      </c>
      <c r="O79" s="7">
        <v>0</v>
      </c>
      <c r="P79" s="7">
        <v>0</v>
      </c>
      <c r="Q79" s="7" t="s">
        <v>47</v>
      </c>
      <c r="R79" s="7" t="s">
        <v>48</v>
      </c>
      <c r="S79" s="90" t="s">
        <v>144</v>
      </c>
      <c r="T79" s="90">
        <v>3846666</v>
      </c>
      <c r="U79" s="238" t="s">
        <v>145</v>
      </c>
      <c r="V79" s="7" t="s">
        <v>51</v>
      </c>
      <c r="W79" s="69" t="s">
        <v>73</v>
      </c>
      <c r="X79" s="7" t="s">
        <v>233</v>
      </c>
      <c r="Y79" s="280">
        <v>6472798</v>
      </c>
      <c r="Z79" s="7"/>
      <c r="AA79" s="7"/>
      <c r="AB79" s="8">
        <f t="shared" si="9"/>
        <v>6472798</v>
      </c>
      <c r="AC79" s="174">
        <v>17121</v>
      </c>
      <c r="AD79" s="175">
        <v>6472798</v>
      </c>
      <c r="AE79" s="175">
        <f t="shared" si="17"/>
        <v>0</v>
      </c>
      <c r="AF79" s="259">
        <v>18621</v>
      </c>
      <c r="AG79" s="260">
        <v>44440</v>
      </c>
      <c r="AH79" s="261">
        <v>6472798</v>
      </c>
      <c r="AI79" s="261">
        <f t="shared" si="18"/>
        <v>0</v>
      </c>
      <c r="AJ79" s="261" t="s">
        <v>878</v>
      </c>
      <c r="AK79" s="261" t="s">
        <v>877</v>
      </c>
      <c r="AL79" s="275">
        <f>1618199+1618199+1618199+1618201</f>
        <v>6472798</v>
      </c>
      <c r="AM79" s="232" t="s">
        <v>798</v>
      </c>
      <c r="AN79" s="216"/>
    </row>
    <row r="80" spans="1:40" ht="104.25" customHeight="1" x14ac:dyDescent="0.3">
      <c r="A80" s="7" t="s">
        <v>237</v>
      </c>
      <c r="B80" s="61" t="s">
        <v>213</v>
      </c>
      <c r="C80" s="134" t="s">
        <v>238</v>
      </c>
      <c r="D80" s="70" t="s">
        <v>243</v>
      </c>
      <c r="E80" s="7" t="s">
        <v>856</v>
      </c>
      <c r="F80" s="7">
        <v>80111600</v>
      </c>
      <c r="G80" s="256" t="s">
        <v>854</v>
      </c>
      <c r="H80" s="67">
        <v>8</v>
      </c>
      <c r="I80" s="72">
        <v>9</v>
      </c>
      <c r="J80" s="72">
        <v>4</v>
      </c>
      <c r="K80" s="72">
        <v>1</v>
      </c>
      <c r="L80" s="74" t="s">
        <v>45</v>
      </c>
      <c r="M80" s="7" t="s">
        <v>46</v>
      </c>
      <c r="N80" s="154">
        <v>0</v>
      </c>
      <c r="O80" s="7">
        <v>0</v>
      </c>
      <c r="P80" s="7">
        <v>0</v>
      </c>
      <c r="Q80" s="7" t="s">
        <v>47</v>
      </c>
      <c r="R80" s="7" t="s">
        <v>48</v>
      </c>
      <c r="S80" s="90" t="s">
        <v>144</v>
      </c>
      <c r="T80" s="90">
        <v>3846666</v>
      </c>
      <c r="U80" s="238" t="s">
        <v>145</v>
      </c>
      <c r="V80" s="7" t="s">
        <v>51</v>
      </c>
      <c r="W80" s="69" t="s">
        <v>73</v>
      </c>
      <c r="X80" s="7" t="s">
        <v>254</v>
      </c>
      <c r="Y80" s="281">
        <v>6472797</v>
      </c>
      <c r="Z80" s="7"/>
      <c r="AA80" s="7"/>
      <c r="AB80" s="8">
        <f t="shared" si="9"/>
        <v>6472797</v>
      </c>
      <c r="AC80" s="174">
        <v>17221</v>
      </c>
      <c r="AD80" s="175">
        <f>6472797-1</f>
        <v>6472796</v>
      </c>
      <c r="AE80" s="175">
        <f t="shared" si="17"/>
        <v>1</v>
      </c>
      <c r="AF80" s="259">
        <v>18521</v>
      </c>
      <c r="AG80" s="260">
        <v>44440</v>
      </c>
      <c r="AH80" s="261">
        <f>6472797-1</f>
        <v>6472796</v>
      </c>
      <c r="AI80" s="261">
        <f t="shared" si="18"/>
        <v>1</v>
      </c>
      <c r="AJ80" s="261" t="s">
        <v>876</v>
      </c>
      <c r="AK80" s="261" t="s">
        <v>875</v>
      </c>
      <c r="AL80" s="275">
        <f>1618199+1618199+1618199+1618199</f>
        <v>6472796</v>
      </c>
      <c r="AM80" s="232" t="s">
        <v>798</v>
      </c>
      <c r="AN80" s="216"/>
    </row>
    <row r="81" spans="1:40" ht="104.25" customHeight="1" x14ac:dyDescent="0.3">
      <c r="A81" s="7" t="s">
        <v>237</v>
      </c>
      <c r="B81" s="61" t="s">
        <v>213</v>
      </c>
      <c r="C81" s="134" t="s">
        <v>238</v>
      </c>
      <c r="D81" s="70" t="s">
        <v>243</v>
      </c>
      <c r="E81" s="90" t="s">
        <v>383</v>
      </c>
      <c r="F81" s="7">
        <v>80111600</v>
      </c>
      <c r="G81" s="256" t="s">
        <v>855</v>
      </c>
      <c r="H81" s="67">
        <v>8</v>
      </c>
      <c r="I81" s="72">
        <v>9</v>
      </c>
      <c r="J81" s="72">
        <v>4</v>
      </c>
      <c r="K81" s="72">
        <v>1</v>
      </c>
      <c r="L81" s="74" t="s">
        <v>45</v>
      </c>
      <c r="M81" s="7" t="s">
        <v>46</v>
      </c>
      <c r="N81" s="154">
        <v>0</v>
      </c>
      <c r="O81" s="7">
        <v>0</v>
      </c>
      <c r="P81" s="7">
        <v>0</v>
      </c>
      <c r="Q81" s="7" t="s">
        <v>47</v>
      </c>
      <c r="R81" s="7" t="s">
        <v>48</v>
      </c>
      <c r="S81" s="90" t="s">
        <v>144</v>
      </c>
      <c r="T81" s="90">
        <v>3846666</v>
      </c>
      <c r="U81" s="238" t="s">
        <v>145</v>
      </c>
      <c r="V81" s="7" t="s">
        <v>51</v>
      </c>
      <c r="W81" s="69" t="s">
        <v>73</v>
      </c>
      <c r="X81" s="7" t="s">
        <v>146</v>
      </c>
      <c r="Y81" s="280">
        <v>6472797</v>
      </c>
      <c r="Z81" s="7"/>
      <c r="AA81" s="7"/>
      <c r="AB81" s="8">
        <f t="shared" si="9"/>
        <v>6472797</v>
      </c>
      <c r="AC81" s="174">
        <v>17321</v>
      </c>
      <c r="AD81" s="175">
        <v>6472797</v>
      </c>
      <c r="AE81" s="175">
        <f t="shared" si="17"/>
        <v>0</v>
      </c>
      <c r="AF81" s="264">
        <v>18921</v>
      </c>
      <c r="AG81" s="262">
        <v>44440</v>
      </c>
      <c r="AH81" s="289">
        <v>6472797</v>
      </c>
      <c r="AI81" s="261">
        <f t="shared" si="18"/>
        <v>0</v>
      </c>
      <c r="AJ81" s="261" t="s">
        <v>884</v>
      </c>
      <c r="AK81" s="261" t="s">
        <v>883</v>
      </c>
      <c r="AL81" s="275">
        <f>1618199+1618199+1618199+1618200</f>
        <v>6472797</v>
      </c>
      <c r="AM81" s="232" t="s">
        <v>798</v>
      </c>
      <c r="AN81" s="216"/>
    </row>
    <row r="82" spans="1:40" ht="104.25" customHeight="1" x14ac:dyDescent="0.3">
      <c r="A82" s="7" t="s">
        <v>237</v>
      </c>
      <c r="B82" s="61" t="s">
        <v>213</v>
      </c>
      <c r="C82" s="134" t="s">
        <v>238</v>
      </c>
      <c r="D82" s="70" t="s">
        <v>243</v>
      </c>
      <c r="E82" s="7" t="s">
        <v>252</v>
      </c>
      <c r="F82" s="58">
        <v>80111600</v>
      </c>
      <c r="G82" s="76" t="s">
        <v>253</v>
      </c>
      <c r="H82" s="77">
        <v>1</v>
      </c>
      <c r="I82" s="77">
        <v>1</v>
      </c>
      <c r="J82" s="77">
        <v>11</v>
      </c>
      <c r="K82" s="77">
        <v>1</v>
      </c>
      <c r="L82" s="78" t="s">
        <v>45</v>
      </c>
      <c r="M82" s="7" t="s">
        <v>46</v>
      </c>
      <c r="N82" s="155">
        <f>3732548*11</f>
        <v>41058028</v>
      </c>
      <c r="O82" s="7">
        <v>0</v>
      </c>
      <c r="P82" s="7">
        <v>0</v>
      </c>
      <c r="Q82" s="7" t="s">
        <v>47</v>
      </c>
      <c r="R82" s="7" t="s">
        <v>48</v>
      </c>
      <c r="S82" s="91" t="s">
        <v>254</v>
      </c>
      <c r="T82" s="90">
        <v>3846666</v>
      </c>
      <c r="U82" s="68" t="s">
        <v>255</v>
      </c>
      <c r="V82" s="7" t="s">
        <v>51</v>
      </c>
      <c r="W82" s="79" t="s">
        <v>52</v>
      </c>
      <c r="X82" s="77" t="s">
        <v>254</v>
      </c>
      <c r="Y82" s="7"/>
      <c r="Z82" s="303">
        <v>425945</v>
      </c>
      <c r="AA82" s="7"/>
      <c r="AB82" s="8">
        <f t="shared" si="9"/>
        <v>41483973</v>
      </c>
      <c r="AC82" s="174" t="s">
        <v>1015</v>
      </c>
      <c r="AD82" s="175">
        <f>41058028+425945</f>
        <v>41483973</v>
      </c>
      <c r="AE82" s="175">
        <f t="shared" si="15"/>
        <v>0</v>
      </c>
      <c r="AF82" s="259" t="s">
        <v>1023</v>
      </c>
      <c r="AG82" s="260" t="s">
        <v>1024</v>
      </c>
      <c r="AH82" s="261">
        <f>41058028+425945</f>
        <v>41483973</v>
      </c>
      <c r="AI82" s="261">
        <f t="shared" si="16"/>
        <v>0</v>
      </c>
      <c r="AJ82" s="259" t="s">
        <v>256</v>
      </c>
      <c r="AK82" s="259" t="s">
        <v>257</v>
      </c>
      <c r="AL82" s="275">
        <f>1368601+3732548+3732548+3732548+3732548+3732548+3732548+3732548+3732548+3732548+3732548+2363947</f>
        <v>41058028</v>
      </c>
      <c r="AM82" s="7" t="s">
        <v>960</v>
      </c>
      <c r="AN82" s="216"/>
    </row>
    <row r="83" spans="1:40" ht="104.25" customHeight="1" x14ac:dyDescent="0.3">
      <c r="A83" s="7" t="s">
        <v>237</v>
      </c>
      <c r="B83" s="61" t="s">
        <v>213</v>
      </c>
      <c r="C83" s="134" t="s">
        <v>238</v>
      </c>
      <c r="D83" s="70" t="s">
        <v>243</v>
      </c>
      <c r="E83" s="7" t="s">
        <v>252</v>
      </c>
      <c r="F83" s="58">
        <v>80111600</v>
      </c>
      <c r="G83" s="76" t="s">
        <v>253</v>
      </c>
      <c r="H83" s="77">
        <v>12</v>
      </c>
      <c r="I83" s="77">
        <v>12</v>
      </c>
      <c r="J83" s="77" t="s">
        <v>1013</v>
      </c>
      <c r="K83" s="77">
        <v>0</v>
      </c>
      <c r="L83" s="78" t="s">
        <v>45</v>
      </c>
      <c r="M83" s="7" t="s">
        <v>622</v>
      </c>
      <c r="N83" s="155">
        <v>0</v>
      </c>
      <c r="O83" s="7">
        <v>0</v>
      </c>
      <c r="P83" s="7">
        <v>0</v>
      </c>
      <c r="Q83" s="7" t="s">
        <v>47</v>
      </c>
      <c r="R83" s="7" t="s">
        <v>48</v>
      </c>
      <c r="S83" s="91" t="s">
        <v>254</v>
      </c>
      <c r="T83" s="90">
        <v>3846666</v>
      </c>
      <c r="U83" s="68" t="s">
        <v>255</v>
      </c>
      <c r="V83" s="7" t="s">
        <v>51</v>
      </c>
      <c r="W83" s="79" t="s">
        <v>52</v>
      </c>
      <c r="X83" s="77" t="s">
        <v>254</v>
      </c>
      <c r="Y83" s="303">
        <v>13275</v>
      </c>
      <c r="Z83" s="7"/>
      <c r="AA83" s="7"/>
      <c r="AB83" s="8">
        <f t="shared" ref="AB83:AB84" si="19">+N83+Y83+Z83-AA83</f>
        <v>13275</v>
      </c>
      <c r="AC83" s="174">
        <v>25521</v>
      </c>
      <c r="AD83" s="175">
        <v>13275</v>
      </c>
      <c r="AE83" s="175">
        <f t="shared" si="15"/>
        <v>0</v>
      </c>
      <c r="AF83" s="259">
        <v>28721</v>
      </c>
      <c r="AG83" s="260">
        <v>44547</v>
      </c>
      <c r="AH83" s="261">
        <v>13275</v>
      </c>
      <c r="AI83" s="261">
        <f t="shared" si="16"/>
        <v>0</v>
      </c>
      <c r="AJ83" s="259"/>
      <c r="AK83" s="259" t="s">
        <v>257</v>
      </c>
      <c r="AL83" s="275">
        <v>13275</v>
      </c>
      <c r="AM83" s="7" t="s">
        <v>960</v>
      </c>
      <c r="AN83" s="216"/>
    </row>
    <row r="84" spans="1:40" ht="104.25" customHeight="1" x14ac:dyDescent="0.3">
      <c r="A84" s="7" t="s">
        <v>237</v>
      </c>
      <c r="B84" s="61" t="s">
        <v>213</v>
      </c>
      <c r="C84" s="134" t="s">
        <v>238</v>
      </c>
      <c r="D84" s="70" t="s">
        <v>243</v>
      </c>
      <c r="E84" s="7" t="s">
        <v>252</v>
      </c>
      <c r="F84" s="58">
        <v>80111600</v>
      </c>
      <c r="G84" s="76" t="s">
        <v>253</v>
      </c>
      <c r="H84" s="77">
        <v>12</v>
      </c>
      <c r="I84" s="77">
        <v>12</v>
      </c>
      <c r="J84" s="77" t="s">
        <v>1013</v>
      </c>
      <c r="K84" s="77">
        <v>0</v>
      </c>
      <c r="L84" s="78" t="s">
        <v>45</v>
      </c>
      <c r="M84" s="7" t="s">
        <v>531</v>
      </c>
      <c r="N84" s="155">
        <v>0</v>
      </c>
      <c r="O84" s="7">
        <v>0</v>
      </c>
      <c r="P84" s="7">
        <v>0</v>
      </c>
      <c r="Q84" s="7" t="s">
        <v>47</v>
      </c>
      <c r="R84" s="7" t="s">
        <v>48</v>
      </c>
      <c r="S84" s="91" t="s">
        <v>254</v>
      </c>
      <c r="T84" s="90">
        <v>3846666</v>
      </c>
      <c r="U84" s="68" t="s">
        <v>255</v>
      </c>
      <c r="V84" s="7" t="s">
        <v>51</v>
      </c>
      <c r="W84" s="79" t="s">
        <v>52</v>
      </c>
      <c r="X84" s="77" t="s">
        <v>254</v>
      </c>
      <c r="Y84" s="303">
        <v>556126</v>
      </c>
      <c r="Z84" s="7"/>
      <c r="AA84" s="7"/>
      <c r="AB84" s="8">
        <f t="shared" si="19"/>
        <v>556126</v>
      </c>
      <c r="AC84" s="174">
        <v>25521</v>
      </c>
      <c r="AD84" s="175">
        <v>556126</v>
      </c>
      <c r="AE84" s="175">
        <f t="shared" si="15"/>
        <v>0</v>
      </c>
      <c r="AF84" s="259">
        <v>28721</v>
      </c>
      <c r="AG84" s="260">
        <v>44547</v>
      </c>
      <c r="AH84" s="261">
        <v>556126</v>
      </c>
      <c r="AI84" s="261">
        <f t="shared" si="16"/>
        <v>0</v>
      </c>
      <c r="AJ84" s="259"/>
      <c r="AK84" s="259" t="s">
        <v>257</v>
      </c>
      <c r="AL84" s="275">
        <v>556126</v>
      </c>
      <c r="AM84" s="7" t="s">
        <v>960</v>
      </c>
      <c r="AN84" s="216"/>
    </row>
    <row r="85" spans="1:40" ht="106.95" customHeight="1" x14ac:dyDescent="0.3">
      <c r="A85" s="7" t="s">
        <v>258</v>
      </c>
      <c r="B85" s="61" t="s">
        <v>213</v>
      </c>
      <c r="C85" s="251" t="s">
        <v>259</v>
      </c>
      <c r="D85" s="69" t="s">
        <v>260</v>
      </c>
      <c r="E85" s="7" t="s">
        <v>261</v>
      </c>
      <c r="F85" s="65">
        <v>81112200</v>
      </c>
      <c r="G85" s="81" t="s">
        <v>262</v>
      </c>
      <c r="H85" s="67">
        <v>1</v>
      </c>
      <c r="I85" s="67">
        <v>1</v>
      </c>
      <c r="J85" s="67">
        <v>10</v>
      </c>
      <c r="K85" s="67">
        <v>1</v>
      </c>
      <c r="L85" s="71" t="s">
        <v>45</v>
      </c>
      <c r="M85" s="7" t="s">
        <v>46</v>
      </c>
      <c r="N85" s="154">
        <f>2400000*10</f>
        <v>24000000</v>
      </c>
      <c r="O85" s="7">
        <v>0</v>
      </c>
      <c r="P85" s="7">
        <v>0</v>
      </c>
      <c r="Q85" s="7" t="s">
        <v>47</v>
      </c>
      <c r="R85" s="7" t="s">
        <v>48</v>
      </c>
      <c r="S85" s="90" t="s">
        <v>247</v>
      </c>
      <c r="T85" s="90">
        <v>3846666</v>
      </c>
      <c r="U85" s="68" t="s">
        <v>248</v>
      </c>
      <c r="V85" s="7" t="s">
        <v>51</v>
      </c>
      <c r="W85" s="69" t="s">
        <v>52</v>
      </c>
      <c r="X85" s="69" t="s">
        <v>263</v>
      </c>
      <c r="Y85" s="7"/>
      <c r="Z85" s="7"/>
      <c r="AA85" s="7"/>
      <c r="AB85" s="8">
        <f t="shared" si="9"/>
        <v>24000000</v>
      </c>
      <c r="AC85" s="174">
        <v>4721</v>
      </c>
      <c r="AD85" s="175">
        <v>24000000</v>
      </c>
      <c r="AE85" s="175">
        <f t="shared" si="15"/>
        <v>0</v>
      </c>
      <c r="AF85" s="259">
        <v>5421</v>
      </c>
      <c r="AG85" s="260">
        <v>44242</v>
      </c>
      <c r="AH85" s="261">
        <v>24000000</v>
      </c>
      <c r="AI85" s="261">
        <f t="shared" si="16"/>
        <v>0</v>
      </c>
      <c r="AJ85" s="259" t="s">
        <v>264</v>
      </c>
      <c r="AK85" s="259" t="s">
        <v>265</v>
      </c>
      <c r="AL85" s="275">
        <f>1200000+2400000+2400000+2400000+2400000+2400000+2400000+2400000+2400000+2400000+1200000</f>
        <v>24000000</v>
      </c>
      <c r="AM85" s="7"/>
      <c r="AN85" s="216"/>
    </row>
    <row r="86" spans="1:40" ht="108" customHeight="1" x14ac:dyDescent="0.3">
      <c r="A86" s="7" t="s">
        <v>258</v>
      </c>
      <c r="B86" s="61" t="s">
        <v>213</v>
      </c>
      <c r="C86" s="251" t="s">
        <v>259</v>
      </c>
      <c r="D86" s="69" t="s">
        <v>260</v>
      </c>
      <c r="E86" s="7" t="s">
        <v>261</v>
      </c>
      <c r="F86" s="65">
        <v>81112200</v>
      </c>
      <c r="G86" s="81" t="s">
        <v>266</v>
      </c>
      <c r="H86" s="67">
        <v>1</v>
      </c>
      <c r="I86" s="67">
        <v>1</v>
      </c>
      <c r="J86" s="67">
        <v>10</v>
      </c>
      <c r="K86" s="67">
        <v>1</v>
      </c>
      <c r="L86" s="71" t="s">
        <v>45</v>
      </c>
      <c r="M86" s="7" t="s">
        <v>46</v>
      </c>
      <c r="N86" s="154">
        <f>2400000*10</f>
        <v>24000000</v>
      </c>
      <c r="O86" s="7">
        <v>0</v>
      </c>
      <c r="P86" s="7">
        <v>0</v>
      </c>
      <c r="Q86" s="7" t="s">
        <v>47</v>
      </c>
      <c r="R86" s="7" t="s">
        <v>48</v>
      </c>
      <c r="S86" s="90" t="s">
        <v>247</v>
      </c>
      <c r="T86" s="90">
        <v>3846666</v>
      </c>
      <c r="U86" s="68" t="s">
        <v>248</v>
      </c>
      <c r="V86" s="7" t="s">
        <v>51</v>
      </c>
      <c r="W86" s="69" t="s">
        <v>52</v>
      </c>
      <c r="X86" s="69" t="s">
        <v>263</v>
      </c>
      <c r="Y86" s="7"/>
      <c r="Z86" s="7"/>
      <c r="AA86" s="7"/>
      <c r="AB86" s="8">
        <f t="shared" si="9"/>
        <v>24000000</v>
      </c>
      <c r="AC86" s="174">
        <v>4921</v>
      </c>
      <c r="AD86" s="175">
        <v>24000000</v>
      </c>
      <c r="AE86" s="175">
        <f t="shared" si="15"/>
        <v>0</v>
      </c>
      <c r="AF86" s="259">
        <v>5521</v>
      </c>
      <c r="AG86" s="260">
        <v>44243</v>
      </c>
      <c r="AH86" s="261">
        <v>24000000</v>
      </c>
      <c r="AI86" s="261">
        <f t="shared" si="16"/>
        <v>0</v>
      </c>
      <c r="AJ86" s="259" t="s">
        <v>267</v>
      </c>
      <c r="AK86" s="259" t="s">
        <v>268</v>
      </c>
      <c r="AL86" s="275">
        <f>1120000+2400000+2400000+2400000+2400000+2400000+2400000+2400000+2400000+1280000+2400000</f>
        <v>24000000</v>
      </c>
      <c r="AM86" s="7"/>
      <c r="AN86" s="216"/>
    </row>
    <row r="87" spans="1:40" ht="104.25" customHeight="1" x14ac:dyDescent="0.3">
      <c r="A87" s="7" t="s">
        <v>258</v>
      </c>
      <c r="B87" s="61" t="s">
        <v>213</v>
      </c>
      <c r="C87" s="251" t="s">
        <v>259</v>
      </c>
      <c r="D87" s="69" t="s">
        <v>260</v>
      </c>
      <c r="E87" s="7" t="s">
        <v>261</v>
      </c>
      <c r="F87" s="65">
        <v>81112200</v>
      </c>
      <c r="G87" s="81" t="s">
        <v>269</v>
      </c>
      <c r="H87" s="67">
        <v>1</v>
      </c>
      <c r="I87" s="67">
        <v>1</v>
      </c>
      <c r="J87" s="67">
        <v>11</v>
      </c>
      <c r="K87" s="67">
        <v>1</v>
      </c>
      <c r="L87" s="7" t="s">
        <v>182</v>
      </c>
      <c r="M87" s="7" t="s">
        <v>46</v>
      </c>
      <c r="N87" s="154">
        <v>1500000</v>
      </c>
      <c r="O87" s="7">
        <v>0</v>
      </c>
      <c r="P87" s="7">
        <v>0</v>
      </c>
      <c r="Q87" s="7" t="s">
        <v>47</v>
      </c>
      <c r="R87" s="7" t="s">
        <v>48</v>
      </c>
      <c r="S87" s="90" t="s">
        <v>247</v>
      </c>
      <c r="T87" s="90">
        <v>3846666</v>
      </c>
      <c r="U87" s="68" t="s">
        <v>248</v>
      </c>
      <c r="V87" s="7" t="s">
        <v>51</v>
      </c>
      <c r="W87" s="69" t="s">
        <v>85</v>
      </c>
      <c r="X87" s="69" t="s">
        <v>270</v>
      </c>
      <c r="Y87" s="7"/>
      <c r="Z87" s="90"/>
      <c r="AA87" s="235">
        <v>548000</v>
      </c>
      <c r="AB87" s="8">
        <f t="shared" ref="AB87:AB124" si="20">+N87+Y87+Z87-AA87</f>
        <v>952000</v>
      </c>
      <c r="AC87" s="174">
        <v>5921</v>
      </c>
      <c r="AD87" s="175">
        <f>1500000-548000</f>
        <v>952000</v>
      </c>
      <c r="AE87" s="175">
        <f t="shared" si="15"/>
        <v>0</v>
      </c>
      <c r="AF87" s="259">
        <v>7021</v>
      </c>
      <c r="AG87" s="260">
        <v>44258</v>
      </c>
      <c r="AH87" s="261">
        <v>952000</v>
      </c>
      <c r="AI87" s="261">
        <f t="shared" si="16"/>
        <v>0</v>
      </c>
      <c r="AJ87" s="259" t="s">
        <v>271</v>
      </c>
      <c r="AK87" s="259" t="s">
        <v>272</v>
      </c>
      <c r="AL87" s="275">
        <v>952000</v>
      </c>
      <c r="AM87" s="7" t="s">
        <v>798</v>
      </c>
      <c r="AN87" s="216"/>
    </row>
    <row r="88" spans="1:40" ht="104.25" customHeight="1" x14ac:dyDescent="0.3">
      <c r="A88" s="7" t="s">
        <v>258</v>
      </c>
      <c r="B88" s="61" t="s">
        <v>213</v>
      </c>
      <c r="C88" s="251" t="s">
        <v>259</v>
      </c>
      <c r="D88" s="69" t="s">
        <v>260</v>
      </c>
      <c r="E88" s="7" t="s">
        <v>261</v>
      </c>
      <c r="F88" s="65">
        <v>43211711</v>
      </c>
      <c r="G88" s="98" t="s">
        <v>961</v>
      </c>
      <c r="H88" s="67">
        <v>11</v>
      </c>
      <c r="I88" s="67">
        <v>11</v>
      </c>
      <c r="J88" s="67">
        <v>2</v>
      </c>
      <c r="K88" s="67">
        <v>1</v>
      </c>
      <c r="L88" s="7" t="s">
        <v>182</v>
      </c>
      <c r="M88" s="7" t="s">
        <v>46</v>
      </c>
      <c r="N88" s="154">
        <v>0</v>
      </c>
      <c r="O88" s="7">
        <v>0</v>
      </c>
      <c r="P88" s="7">
        <v>0</v>
      </c>
      <c r="Q88" s="7" t="s">
        <v>47</v>
      </c>
      <c r="R88" s="7" t="s">
        <v>48</v>
      </c>
      <c r="S88" s="90" t="s">
        <v>247</v>
      </c>
      <c r="T88" s="90">
        <v>3846666</v>
      </c>
      <c r="U88" s="68" t="s">
        <v>248</v>
      </c>
      <c r="V88" s="7" t="s">
        <v>51</v>
      </c>
      <c r="W88" s="69" t="s">
        <v>191</v>
      </c>
      <c r="X88" s="69" t="s">
        <v>450</v>
      </c>
      <c r="Y88" s="258">
        <f>530+2380938+3407+4857113</f>
        <v>7241988</v>
      </c>
      <c r="Z88" s="90"/>
      <c r="AA88" s="235"/>
      <c r="AB88" s="299">
        <f t="shared" ref="AB88:AB90" si="21">+N88+Y88+Z88-AA88</f>
        <v>7241988</v>
      </c>
      <c r="AC88" s="174">
        <v>22221</v>
      </c>
      <c r="AD88" s="175">
        <v>7241988</v>
      </c>
      <c r="AE88" s="175">
        <f t="shared" ref="AE88:AE90" si="22">+AB88-AD88</f>
        <v>0</v>
      </c>
      <c r="AF88" s="259">
        <v>24721</v>
      </c>
      <c r="AG88" s="296">
        <v>44502</v>
      </c>
      <c r="AH88" s="261">
        <v>7241988</v>
      </c>
      <c r="AI88" s="261">
        <f t="shared" ref="AI88:AI90" si="23">+AB88-AH88</f>
        <v>0</v>
      </c>
      <c r="AJ88" s="259" t="s">
        <v>965</v>
      </c>
      <c r="AK88" s="259" t="s">
        <v>815</v>
      </c>
      <c r="AL88" s="275">
        <v>7241988</v>
      </c>
      <c r="AM88" s="7" t="s">
        <v>960</v>
      </c>
      <c r="AN88" s="216"/>
    </row>
    <row r="89" spans="1:40" ht="104.25" customHeight="1" x14ac:dyDescent="0.3">
      <c r="A89" s="7" t="s">
        <v>258</v>
      </c>
      <c r="B89" s="61" t="s">
        <v>213</v>
      </c>
      <c r="C89" s="251" t="s">
        <v>259</v>
      </c>
      <c r="D89" s="69" t="s">
        <v>260</v>
      </c>
      <c r="E89" s="7" t="s">
        <v>261</v>
      </c>
      <c r="F89" s="65">
        <v>43211711</v>
      </c>
      <c r="G89" s="98" t="s">
        <v>962</v>
      </c>
      <c r="H89" s="67">
        <v>11</v>
      </c>
      <c r="I89" s="67">
        <v>11</v>
      </c>
      <c r="J89" s="67">
        <v>2</v>
      </c>
      <c r="K89" s="67">
        <v>1</v>
      </c>
      <c r="L89" s="7" t="s">
        <v>803</v>
      </c>
      <c r="M89" s="7" t="s">
        <v>119</v>
      </c>
      <c r="N89" s="154">
        <v>0</v>
      </c>
      <c r="O89" s="7">
        <v>0</v>
      </c>
      <c r="P89" s="7">
        <v>0</v>
      </c>
      <c r="Q89" s="7" t="s">
        <v>47</v>
      </c>
      <c r="R89" s="7" t="s">
        <v>48</v>
      </c>
      <c r="S89" s="90" t="s">
        <v>247</v>
      </c>
      <c r="T89" s="90">
        <v>3846666</v>
      </c>
      <c r="U89" s="68" t="s">
        <v>248</v>
      </c>
      <c r="V89" s="7" t="s">
        <v>51</v>
      </c>
      <c r="W89" s="69" t="s">
        <v>191</v>
      </c>
      <c r="X89" s="69" t="s">
        <v>450</v>
      </c>
      <c r="Y89" s="258">
        <f>2747459+2711394</f>
        <v>5458853</v>
      </c>
      <c r="Z89" s="90"/>
      <c r="AA89" s="235"/>
      <c r="AB89" s="299">
        <f t="shared" si="21"/>
        <v>5458853</v>
      </c>
      <c r="AC89" s="174">
        <v>22221</v>
      </c>
      <c r="AD89" s="175">
        <v>5458853</v>
      </c>
      <c r="AE89" s="175">
        <f t="shared" si="22"/>
        <v>0</v>
      </c>
      <c r="AF89" s="259">
        <v>24721</v>
      </c>
      <c r="AG89" s="296">
        <v>44502</v>
      </c>
      <c r="AH89" s="261">
        <v>5458853</v>
      </c>
      <c r="AI89" s="261">
        <f t="shared" si="23"/>
        <v>0</v>
      </c>
      <c r="AJ89" s="259" t="s">
        <v>965</v>
      </c>
      <c r="AK89" s="259" t="s">
        <v>815</v>
      </c>
      <c r="AL89" s="275">
        <v>5458853</v>
      </c>
      <c r="AM89" s="7" t="s">
        <v>960</v>
      </c>
      <c r="AN89" s="216"/>
    </row>
    <row r="90" spans="1:40" ht="104.25" customHeight="1" x14ac:dyDescent="0.3">
      <c r="A90" s="7" t="s">
        <v>258</v>
      </c>
      <c r="B90" s="61" t="s">
        <v>213</v>
      </c>
      <c r="C90" s="251" t="s">
        <v>259</v>
      </c>
      <c r="D90" s="69" t="s">
        <v>260</v>
      </c>
      <c r="E90" s="7" t="s">
        <v>261</v>
      </c>
      <c r="F90" s="65">
        <v>43211711</v>
      </c>
      <c r="G90" s="98" t="s">
        <v>961</v>
      </c>
      <c r="H90" s="67">
        <v>11</v>
      </c>
      <c r="I90" s="67">
        <v>11</v>
      </c>
      <c r="J90" s="67">
        <v>2</v>
      </c>
      <c r="K90" s="67">
        <v>1</v>
      </c>
      <c r="L90" s="7" t="s">
        <v>803</v>
      </c>
      <c r="M90" s="7" t="s">
        <v>293</v>
      </c>
      <c r="N90" s="154">
        <v>0</v>
      </c>
      <c r="O90" s="7">
        <v>0</v>
      </c>
      <c r="P90" s="7">
        <v>0</v>
      </c>
      <c r="Q90" s="7" t="s">
        <v>47</v>
      </c>
      <c r="R90" s="7" t="s">
        <v>48</v>
      </c>
      <c r="S90" s="90" t="s">
        <v>247</v>
      </c>
      <c r="T90" s="90">
        <v>3846666</v>
      </c>
      <c r="U90" s="68" t="s">
        <v>248</v>
      </c>
      <c r="V90" s="7" t="s">
        <v>51</v>
      </c>
      <c r="W90" s="69" t="s">
        <v>191</v>
      </c>
      <c r="X90" s="69" t="s">
        <v>450</v>
      </c>
      <c r="Y90" s="258">
        <v>4329526</v>
      </c>
      <c r="Z90" s="90"/>
      <c r="AA90" s="303">
        <v>556126</v>
      </c>
      <c r="AB90" s="299">
        <f t="shared" si="21"/>
        <v>3773400</v>
      </c>
      <c r="AC90" s="174">
        <v>22221</v>
      </c>
      <c r="AD90" s="175">
        <v>3773400</v>
      </c>
      <c r="AE90" s="175">
        <f t="shared" si="22"/>
        <v>0</v>
      </c>
      <c r="AF90" s="259">
        <v>24721</v>
      </c>
      <c r="AG90" s="296">
        <v>44502</v>
      </c>
      <c r="AH90" s="261">
        <v>3773400</v>
      </c>
      <c r="AI90" s="261">
        <f t="shared" si="23"/>
        <v>0</v>
      </c>
      <c r="AJ90" s="259" t="s">
        <v>965</v>
      </c>
      <c r="AK90" s="259" t="s">
        <v>815</v>
      </c>
      <c r="AL90" s="275">
        <v>3773400</v>
      </c>
      <c r="AM90" s="7" t="s">
        <v>960</v>
      </c>
      <c r="AN90" s="216"/>
    </row>
    <row r="91" spans="1:40" ht="104.25" customHeight="1" x14ac:dyDescent="0.3">
      <c r="A91" s="7" t="s">
        <v>258</v>
      </c>
      <c r="B91" s="61" t="s">
        <v>213</v>
      </c>
      <c r="C91" s="251" t="s">
        <v>259</v>
      </c>
      <c r="D91" s="69" t="s">
        <v>260</v>
      </c>
      <c r="E91" s="7" t="s">
        <v>261</v>
      </c>
      <c r="F91" s="65">
        <v>43231513</v>
      </c>
      <c r="G91" s="82" t="s">
        <v>273</v>
      </c>
      <c r="H91" s="67">
        <v>10</v>
      </c>
      <c r="I91" s="67">
        <v>11</v>
      </c>
      <c r="J91" s="67">
        <v>1</v>
      </c>
      <c r="K91" s="67">
        <v>1</v>
      </c>
      <c r="L91" s="71" t="s">
        <v>274</v>
      </c>
      <c r="M91" s="7" t="s">
        <v>46</v>
      </c>
      <c r="N91" s="154">
        <v>4100000</v>
      </c>
      <c r="O91" s="7">
        <v>0</v>
      </c>
      <c r="P91" s="7">
        <v>0</v>
      </c>
      <c r="Q91" s="7" t="s">
        <v>47</v>
      </c>
      <c r="R91" s="7" t="s">
        <v>48</v>
      </c>
      <c r="S91" s="90" t="s">
        <v>247</v>
      </c>
      <c r="T91" s="90">
        <v>3846666</v>
      </c>
      <c r="U91" s="68" t="s">
        <v>248</v>
      </c>
      <c r="V91" s="7" t="s">
        <v>51</v>
      </c>
      <c r="W91" s="83" t="s">
        <v>275</v>
      </c>
      <c r="X91" s="69" t="s">
        <v>263</v>
      </c>
      <c r="Y91" s="90"/>
      <c r="Z91" s="90"/>
      <c r="AA91" s="90"/>
      <c r="AB91" s="8">
        <f t="shared" si="20"/>
        <v>4100000</v>
      </c>
      <c r="AC91" s="174">
        <v>18121</v>
      </c>
      <c r="AD91" s="175">
        <v>4100000</v>
      </c>
      <c r="AE91" s="175">
        <f t="shared" si="15"/>
        <v>0</v>
      </c>
      <c r="AF91" s="259">
        <v>20221</v>
      </c>
      <c r="AG91" s="260">
        <v>44459</v>
      </c>
      <c r="AH91" s="261">
        <v>4100000</v>
      </c>
      <c r="AI91" s="261">
        <f t="shared" si="16"/>
        <v>0</v>
      </c>
      <c r="AJ91" s="259" t="s">
        <v>964</v>
      </c>
      <c r="AK91" s="259" t="s">
        <v>963</v>
      </c>
      <c r="AL91" s="275">
        <v>4100000</v>
      </c>
      <c r="AM91" s="232"/>
      <c r="AN91" s="216"/>
    </row>
    <row r="92" spans="1:40" ht="104.25" customHeight="1" x14ac:dyDescent="0.3">
      <c r="A92" s="7" t="s">
        <v>258</v>
      </c>
      <c r="B92" s="61" t="s">
        <v>213</v>
      </c>
      <c r="C92" s="251" t="s">
        <v>259</v>
      </c>
      <c r="D92" s="69" t="s">
        <v>260</v>
      </c>
      <c r="E92" s="7" t="s">
        <v>261</v>
      </c>
      <c r="F92" s="65">
        <v>43231513</v>
      </c>
      <c r="G92" s="82" t="s">
        <v>273</v>
      </c>
      <c r="H92" s="67">
        <v>10</v>
      </c>
      <c r="I92" s="67">
        <v>11</v>
      </c>
      <c r="J92" s="67">
        <v>1</v>
      </c>
      <c r="K92" s="67">
        <v>1</v>
      </c>
      <c r="L92" s="71" t="s">
        <v>274</v>
      </c>
      <c r="M92" s="7" t="s">
        <v>119</v>
      </c>
      <c r="N92" s="154">
        <v>35000000</v>
      </c>
      <c r="O92" s="7">
        <v>0</v>
      </c>
      <c r="P92" s="7">
        <v>0</v>
      </c>
      <c r="Q92" s="7" t="s">
        <v>47</v>
      </c>
      <c r="R92" s="7" t="s">
        <v>48</v>
      </c>
      <c r="S92" s="90" t="s">
        <v>247</v>
      </c>
      <c r="T92" s="90">
        <v>3846666</v>
      </c>
      <c r="U92" s="68" t="s">
        <v>248</v>
      </c>
      <c r="V92" s="7" t="s">
        <v>51</v>
      </c>
      <c r="W92" s="83" t="s">
        <v>275</v>
      </c>
      <c r="X92" s="69" t="s">
        <v>263</v>
      </c>
      <c r="Y92" s="90"/>
      <c r="Z92" s="90"/>
      <c r="AA92" s="288">
        <v>2747459</v>
      </c>
      <c r="AB92" s="297">
        <f t="shared" si="20"/>
        <v>32252541</v>
      </c>
      <c r="AC92" s="174">
        <v>18121</v>
      </c>
      <c r="AD92" s="175">
        <v>32252540.800000001</v>
      </c>
      <c r="AE92" s="175">
        <f t="shared" si="15"/>
        <v>0.19999999925494194</v>
      </c>
      <c r="AF92" s="259">
        <v>20221</v>
      </c>
      <c r="AG92" s="260">
        <v>44459</v>
      </c>
      <c r="AH92" s="261">
        <v>32252540.800000001</v>
      </c>
      <c r="AI92" s="261">
        <f t="shared" si="16"/>
        <v>0.19999999925494194</v>
      </c>
      <c r="AJ92" s="259" t="s">
        <v>964</v>
      </c>
      <c r="AK92" s="259" t="s">
        <v>963</v>
      </c>
      <c r="AL92" s="275">
        <v>32252540.800000001</v>
      </c>
      <c r="AM92" s="232"/>
      <c r="AN92" s="216"/>
    </row>
    <row r="93" spans="1:40" ht="104.25" customHeight="1" x14ac:dyDescent="0.3">
      <c r="A93" s="7" t="s">
        <v>258</v>
      </c>
      <c r="B93" s="61" t="s">
        <v>213</v>
      </c>
      <c r="C93" s="251" t="s">
        <v>259</v>
      </c>
      <c r="D93" s="69" t="s">
        <v>260</v>
      </c>
      <c r="E93" s="7" t="s">
        <v>261</v>
      </c>
      <c r="F93" s="65">
        <v>81112501</v>
      </c>
      <c r="G93" s="82" t="s">
        <v>276</v>
      </c>
      <c r="H93" s="67">
        <v>5</v>
      </c>
      <c r="I93" s="67">
        <v>6</v>
      </c>
      <c r="J93" s="67">
        <v>1</v>
      </c>
      <c r="K93" s="67">
        <v>1</v>
      </c>
      <c r="L93" s="7" t="s">
        <v>182</v>
      </c>
      <c r="M93" s="7" t="s">
        <v>46</v>
      </c>
      <c r="N93" s="154">
        <f>23000000-4020740</f>
        <v>18979260</v>
      </c>
      <c r="O93" s="7">
        <v>0</v>
      </c>
      <c r="P93" s="7">
        <v>0</v>
      </c>
      <c r="Q93" s="7" t="s">
        <v>47</v>
      </c>
      <c r="R93" s="7" t="s">
        <v>48</v>
      </c>
      <c r="S93" s="90" t="s">
        <v>247</v>
      </c>
      <c r="T93" s="90">
        <v>3846666</v>
      </c>
      <c r="U93" s="68" t="s">
        <v>248</v>
      </c>
      <c r="V93" s="7" t="s">
        <v>51</v>
      </c>
      <c r="W93" s="7" t="s">
        <v>275</v>
      </c>
      <c r="X93" s="69" t="s">
        <v>277</v>
      </c>
      <c r="Y93" s="90"/>
      <c r="Z93" s="235">
        <v>1600000</v>
      </c>
      <c r="AA93" s="90"/>
      <c r="AB93" s="8">
        <f t="shared" si="20"/>
        <v>20579260</v>
      </c>
      <c r="AC93" s="174">
        <v>14121</v>
      </c>
      <c r="AD93" s="175">
        <v>20579260</v>
      </c>
      <c r="AE93" s="175">
        <f t="shared" si="15"/>
        <v>0</v>
      </c>
      <c r="AF93" s="259">
        <v>16821</v>
      </c>
      <c r="AG93" s="260">
        <v>44420</v>
      </c>
      <c r="AH93" s="261">
        <v>20579260</v>
      </c>
      <c r="AI93" s="261">
        <f t="shared" si="16"/>
        <v>0</v>
      </c>
      <c r="AJ93" s="259" t="s">
        <v>865</v>
      </c>
      <c r="AK93" s="259" t="s">
        <v>866</v>
      </c>
      <c r="AL93" s="275">
        <v>20579260</v>
      </c>
      <c r="AM93" s="7" t="s">
        <v>798</v>
      </c>
      <c r="AN93" s="216"/>
    </row>
    <row r="94" spans="1:40" ht="104.25" customHeight="1" x14ac:dyDescent="0.3">
      <c r="A94" s="7" t="s">
        <v>258</v>
      </c>
      <c r="B94" s="61" t="s">
        <v>213</v>
      </c>
      <c r="C94" s="251" t="s">
        <v>259</v>
      </c>
      <c r="D94" s="69" t="s">
        <v>260</v>
      </c>
      <c r="E94" s="7" t="s">
        <v>261</v>
      </c>
      <c r="F94" s="65">
        <v>81112501</v>
      </c>
      <c r="G94" s="82" t="s">
        <v>276</v>
      </c>
      <c r="H94" s="67">
        <v>5</v>
      </c>
      <c r="I94" s="67">
        <v>6</v>
      </c>
      <c r="J94" s="67">
        <v>1</v>
      </c>
      <c r="K94" s="67">
        <v>1</v>
      </c>
      <c r="L94" s="7" t="s">
        <v>182</v>
      </c>
      <c r="M94" s="7" t="s">
        <v>119</v>
      </c>
      <c r="N94" s="154">
        <v>4020740</v>
      </c>
      <c r="O94" s="7">
        <v>0</v>
      </c>
      <c r="P94" s="7">
        <v>0</v>
      </c>
      <c r="Q94" s="7" t="s">
        <v>47</v>
      </c>
      <c r="R94" s="7" t="s">
        <v>48</v>
      </c>
      <c r="S94" s="90" t="s">
        <v>247</v>
      </c>
      <c r="T94" s="90">
        <v>3846666</v>
      </c>
      <c r="U94" s="68" t="s">
        <v>248</v>
      </c>
      <c r="V94" s="7" t="s">
        <v>51</v>
      </c>
      <c r="W94" s="7" t="s">
        <v>275</v>
      </c>
      <c r="X94" s="69" t="s">
        <v>277</v>
      </c>
      <c r="Y94" s="90"/>
      <c r="Z94" s="90"/>
      <c r="AA94" s="235">
        <v>2711394</v>
      </c>
      <c r="AB94" s="297">
        <f t="shared" si="20"/>
        <v>1309346</v>
      </c>
      <c r="AC94" s="174">
        <v>14121</v>
      </c>
      <c r="AD94" s="175">
        <f>3964070-2654724</f>
        <v>1309346</v>
      </c>
      <c r="AE94" s="175">
        <f t="shared" si="15"/>
        <v>0</v>
      </c>
      <c r="AF94" s="259">
        <v>16821</v>
      </c>
      <c r="AG94" s="260">
        <v>44420</v>
      </c>
      <c r="AH94" s="261">
        <v>1309346</v>
      </c>
      <c r="AI94" s="261">
        <f t="shared" si="16"/>
        <v>0</v>
      </c>
      <c r="AJ94" s="259" t="s">
        <v>865</v>
      </c>
      <c r="AK94" s="259" t="s">
        <v>866</v>
      </c>
      <c r="AL94" s="275">
        <v>1309346</v>
      </c>
      <c r="AM94" s="7"/>
      <c r="AN94" s="216"/>
    </row>
    <row r="95" spans="1:40" ht="135.6" customHeight="1" x14ac:dyDescent="0.3">
      <c r="A95" s="7" t="s">
        <v>258</v>
      </c>
      <c r="B95" s="61" t="s">
        <v>213</v>
      </c>
      <c r="C95" s="251" t="s">
        <v>259</v>
      </c>
      <c r="D95" s="69" t="s">
        <v>260</v>
      </c>
      <c r="E95" s="7" t="s">
        <v>261</v>
      </c>
      <c r="F95" s="65" t="s">
        <v>653</v>
      </c>
      <c r="G95" s="98" t="s">
        <v>1002</v>
      </c>
      <c r="H95" s="67">
        <v>11</v>
      </c>
      <c r="I95" s="67">
        <v>11</v>
      </c>
      <c r="J95" s="67">
        <v>2</v>
      </c>
      <c r="K95" s="67">
        <v>1</v>
      </c>
      <c r="L95" s="7" t="s">
        <v>45</v>
      </c>
      <c r="M95" s="7" t="s">
        <v>46</v>
      </c>
      <c r="N95" s="154">
        <v>0</v>
      </c>
      <c r="O95" s="7">
        <v>0</v>
      </c>
      <c r="P95" s="7">
        <v>0</v>
      </c>
      <c r="Q95" s="7" t="s">
        <v>47</v>
      </c>
      <c r="R95" s="7" t="s">
        <v>48</v>
      </c>
      <c r="S95" s="90" t="s">
        <v>247</v>
      </c>
      <c r="T95" s="90">
        <v>3846666</v>
      </c>
      <c r="U95" s="68" t="s">
        <v>248</v>
      </c>
      <c r="V95" s="7" t="s">
        <v>51</v>
      </c>
      <c r="W95" s="69" t="s">
        <v>655</v>
      </c>
      <c r="X95" s="69" t="s">
        <v>971</v>
      </c>
      <c r="Y95" s="235">
        <f>645887+6590383+93702+51250+470000+11873278</f>
        <v>19724500</v>
      </c>
      <c r="Z95" s="90"/>
      <c r="AA95" s="303">
        <v>425945</v>
      </c>
      <c r="AB95" s="8">
        <f t="shared" si="20"/>
        <v>19298555</v>
      </c>
      <c r="AC95" s="174">
        <v>25321</v>
      </c>
      <c r="AD95" s="175">
        <v>19238460</v>
      </c>
      <c r="AE95" s="175">
        <f t="shared" si="15"/>
        <v>60095</v>
      </c>
      <c r="AF95" s="259">
        <v>29521</v>
      </c>
      <c r="AG95" s="260">
        <v>44552</v>
      </c>
      <c r="AH95" s="261">
        <v>19238460</v>
      </c>
      <c r="AI95" s="261">
        <f t="shared" si="16"/>
        <v>60095</v>
      </c>
      <c r="AJ95" s="259" t="s">
        <v>1028</v>
      </c>
      <c r="AK95" s="259" t="s">
        <v>657</v>
      </c>
      <c r="AL95" s="275">
        <v>19238460</v>
      </c>
      <c r="AM95" s="232" t="s">
        <v>960</v>
      </c>
      <c r="AN95" s="216"/>
    </row>
    <row r="96" spans="1:40" ht="104.25" customHeight="1" x14ac:dyDescent="0.3">
      <c r="A96" s="7" t="s">
        <v>258</v>
      </c>
      <c r="B96" s="61" t="s">
        <v>213</v>
      </c>
      <c r="C96" s="251" t="s">
        <v>259</v>
      </c>
      <c r="D96" s="69" t="s">
        <v>260</v>
      </c>
      <c r="E96" s="7" t="s">
        <v>261</v>
      </c>
      <c r="F96" s="65">
        <v>81112100</v>
      </c>
      <c r="G96" s="98" t="s">
        <v>278</v>
      </c>
      <c r="H96" s="67">
        <v>3</v>
      </c>
      <c r="I96" s="67">
        <v>3</v>
      </c>
      <c r="J96" s="67">
        <v>11</v>
      </c>
      <c r="K96" s="67">
        <v>1</v>
      </c>
      <c r="L96" s="71" t="s">
        <v>154</v>
      </c>
      <c r="M96" s="90" t="s">
        <v>46</v>
      </c>
      <c r="N96" s="154">
        <v>56000000</v>
      </c>
      <c r="O96" s="7">
        <v>0</v>
      </c>
      <c r="P96" s="7">
        <v>0</v>
      </c>
      <c r="Q96" s="7" t="s">
        <v>47</v>
      </c>
      <c r="R96" s="7" t="s">
        <v>48</v>
      </c>
      <c r="S96" s="90" t="s">
        <v>247</v>
      </c>
      <c r="T96" s="90">
        <v>3846666</v>
      </c>
      <c r="U96" s="68" t="s">
        <v>248</v>
      </c>
      <c r="V96" s="7" t="s">
        <v>51</v>
      </c>
      <c r="W96" s="69" t="s">
        <v>85</v>
      </c>
      <c r="X96" s="69" t="s">
        <v>263</v>
      </c>
      <c r="Y96" s="7"/>
      <c r="Z96" s="90"/>
      <c r="AA96" s="298">
        <f>1052000+6590383</f>
        <v>7642383</v>
      </c>
      <c r="AB96" s="297">
        <f t="shared" si="20"/>
        <v>48357617</v>
      </c>
      <c r="AC96" s="174">
        <v>4521</v>
      </c>
      <c r="AD96" s="175">
        <f>56000000-7642383</f>
        <v>48357617</v>
      </c>
      <c r="AE96" s="175">
        <f t="shared" si="15"/>
        <v>0</v>
      </c>
      <c r="AF96" s="259">
        <v>5221</v>
      </c>
      <c r="AG96" s="260">
        <v>44237</v>
      </c>
      <c r="AH96" s="261">
        <v>48357617</v>
      </c>
      <c r="AI96" s="261">
        <f t="shared" si="16"/>
        <v>0</v>
      </c>
      <c r="AJ96" s="259" t="s">
        <v>279</v>
      </c>
      <c r="AK96" s="259" t="s">
        <v>280</v>
      </c>
      <c r="AL96" s="275">
        <f>4526938.8+4396147+4396147+4396147+4531806.99+4396147+4396147+4396147+4396147</f>
        <v>39831774.789999999</v>
      </c>
      <c r="AM96" s="7" t="s">
        <v>798</v>
      </c>
      <c r="AN96" s="216"/>
    </row>
    <row r="97" spans="1:95" ht="84" customHeight="1" x14ac:dyDescent="0.3">
      <c r="A97" s="7" t="s">
        <v>258</v>
      </c>
      <c r="B97" s="61" t="s">
        <v>213</v>
      </c>
      <c r="C97" s="251" t="s">
        <v>259</v>
      </c>
      <c r="D97" s="69" t="s">
        <v>260</v>
      </c>
      <c r="E97" s="7" t="s">
        <v>261</v>
      </c>
      <c r="F97" s="65">
        <v>81112215</v>
      </c>
      <c r="G97" s="249" t="s">
        <v>281</v>
      </c>
      <c r="H97" s="67">
        <v>1</v>
      </c>
      <c r="I97" s="67">
        <v>1</v>
      </c>
      <c r="J97" s="67">
        <v>10</v>
      </c>
      <c r="K97" s="67">
        <v>1</v>
      </c>
      <c r="L97" s="71" t="s">
        <v>45</v>
      </c>
      <c r="M97" s="90" t="s">
        <v>46</v>
      </c>
      <c r="N97" s="154">
        <f>2950000*10</f>
        <v>29500000</v>
      </c>
      <c r="O97" s="7">
        <v>0</v>
      </c>
      <c r="P97" s="7">
        <v>0</v>
      </c>
      <c r="Q97" s="7" t="s">
        <v>47</v>
      </c>
      <c r="R97" s="7" t="s">
        <v>48</v>
      </c>
      <c r="S97" s="90" t="s">
        <v>247</v>
      </c>
      <c r="T97" s="90">
        <v>3846666</v>
      </c>
      <c r="U97" s="68" t="s">
        <v>248</v>
      </c>
      <c r="V97" s="7" t="s">
        <v>51</v>
      </c>
      <c r="W97" s="69" t="s">
        <v>52</v>
      </c>
      <c r="X97" s="69" t="s">
        <v>263</v>
      </c>
      <c r="Y97" s="7"/>
      <c r="Z97" s="90"/>
      <c r="AA97" s="90"/>
      <c r="AB97" s="8">
        <f t="shared" si="20"/>
        <v>29500000</v>
      </c>
      <c r="AC97" s="174">
        <v>4821</v>
      </c>
      <c r="AD97" s="175">
        <v>29500000</v>
      </c>
      <c r="AE97" s="175">
        <f>+AB97-AD97</f>
        <v>0</v>
      </c>
      <c r="AF97" s="259">
        <v>5321</v>
      </c>
      <c r="AG97" s="260">
        <v>44242</v>
      </c>
      <c r="AH97" s="261">
        <v>29500000</v>
      </c>
      <c r="AI97" s="261">
        <f t="shared" si="16"/>
        <v>0</v>
      </c>
      <c r="AJ97" s="259" t="s">
        <v>282</v>
      </c>
      <c r="AK97" s="259" t="s">
        <v>283</v>
      </c>
      <c r="AL97" s="275">
        <f>1475000+2950000+2950000+2950000+2950000+2950000+2950000+2950000+2950000+2950000+1475000</f>
        <v>29500000</v>
      </c>
      <c r="AM97" s="7"/>
      <c r="AN97" s="216"/>
    </row>
    <row r="98" spans="1:95" ht="104.25" customHeight="1" x14ac:dyDescent="0.3">
      <c r="A98" s="7" t="s">
        <v>258</v>
      </c>
      <c r="B98" s="61" t="s">
        <v>213</v>
      </c>
      <c r="C98" s="251" t="s">
        <v>259</v>
      </c>
      <c r="D98" s="69" t="s">
        <v>284</v>
      </c>
      <c r="E98" s="7" t="s">
        <v>261</v>
      </c>
      <c r="F98" s="65">
        <v>81111812</v>
      </c>
      <c r="G98" s="249" t="s">
        <v>285</v>
      </c>
      <c r="H98" s="67">
        <v>6</v>
      </c>
      <c r="I98" s="67">
        <v>6</v>
      </c>
      <c r="J98" s="67">
        <v>6</v>
      </c>
      <c r="K98" s="67">
        <v>1</v>
      </c>
      <c r="L98" s="7" t="s">
        <v>182</v>
      </c>
      <c r="M98" s="90" t="s">
        <v>46</v>
      </c>
      <c r="N98" s="154">
        <v>3450000</v>
      </c>
      <c r="O98" s="7">
        <v>0</v>
      </c>
      <c r="P98" s="7">
        <v>0</v>
      </c>
      <c r="Q98" s="7" t="s">
        <v>47</v>
      </c>
      <c r="R98" s="7" t="s">
        <v>48</v>
      </c>
      <c r="S98" s="90" t="s">
        <v>247</v>
      </c>
      <c r="T98" s="90">
        <v>3846666</v>
      </c>
      <c r="U98" s="68" t="s">
        <v>248</v>
      </c>
      <c r="V98" s="7" t="s">
        <v>51</v>
      </c>
      <c r="W98" s="69" t="s">
        <v>85</v>
      </c>
      <c r="X98" s="69" t="s">
        <v>286</v>
      </c>
      <c r="Y98" s="7"/>
      <c r="Z98" s="90"/>
      <c r="AA98" s="90"/>
      <c r="AB98" s="8">
        <f t="shared" si="20"/>
        <v>3450000</v>
      </c>
      <c r="AC98" s="174">
        <v>11521</v>
      </c>
      <c r="AD98" s="175">
        <f>3450000-1087504.74</f>
        <v>2362495.2599999998</v>
      </c>
      <c r="AE98" s="175">
        <f t="shared" si="15"/>
        <v>1087504.7400000002</v>
      </c>
      <c r="AF98" s="261">
        <v>18821</v>
      </c>
      <c r="AG98" s="262">
        <v>44440</v>
      </c>
      <c r="AH98" s="261">
        <f>3450000-1087504.74</f>
        <v>2362495.2599999998</v>
      </c>
      <c r="AI98" s="261">
        <f t="shared" si="16"/>
        <v>1087504.7400000002</v>
      </c>
      <c r="AJ98" s="261" t="s">
        <v>882</v>
      </c>
      <c r="AK98" s="261" t="s">
        <v>881</v>
      </c>
      <c r="AL98" s="275">
        <f>349999.64+349999.64+962499.98</f>
        <v>1662499.26</v>
      </c>
      <c r="AM98" s="232"/>
      <c r="AN98" s="216"/>
    </row>
    <row r="99" spans="1:95" s="242" customFormat="1" ht="104.25" customHeight="1" x14ac:dyDescent="0.3">
      <c r="A99" s="247" t="s">
        <v>258</v>
      </c>
      <c r="B99" s="61" t="s">
        <v>213</v>
      </c>
      <c r="C99" s="251" t="s">
        <v>259</v>
      </c>
      <c r="D99" s="69" t="s">
        <v>284</v>
      </c>
      <c r="E99" s="7" t="s">
        <v>261</v>
      </c>
      <c r="F99" s="65" t="s">
        <v>287</v>
      </c>
      <c r="G99" s="249" t="s">
        <v>288</v>
      </c>
      <c r="H99" s="67">
        <v>5</v>
      </c>
      <c r="I99" s="67">
        <v>6</v>
      </c>
      <c r="J99" s="67">
        <v>6</v>
      </c>
      <c r="K99" s="67">
        <v>1</v>
      </c>
      <c r="L99" s="7" t="s">
        <v>182</v>
      </c>
      <c r="M99" s="90" t="s">
        <v>46</v>
      </c>
      <c r="N99" s="154">
        <v>5400000</v>
      </c>
      <c r="O99" s="7">
        <v>0</v>
      </c>
      <c r="P99" s="7">
        <v>0</v>
      </c>
      <c r="Q99" s="7" t="s">
        <v>47</v>
      </c>
      <c r="R99" s="7" t="s">
        <v>48</v>
      </c>
      <c r="S99" s="90" t="s">
        <v>247</v>
      </c>
      <c r="T99" s="90">
        <v>3846666</v>
      </c>
      <c r="U99" s="68" t="s">
        <v>248</v>
      </c>
      <c r="V99" s="7" t="s">
        <v>51</v>
      </c>
      <c r="W99" s="69" t="s">
        <v>85</v>
      </c>
      <c r="X99" s="69" t="s">
        <v>286</v>
      </c>
      <c r="Y99" s="7"/>
      <c r="Z99" s="7"/>
      <c r="AA99" s="7"/>
      <c r="AB99" s="8">
        <f t="shared" si="20"/>
        <v>5400000</v>
      </c>
      <c r="AC99" s="174">
        <v>10521</v>
      </c>
      <c r="AD99" s="175">
        <f>5400000-708425</f>
        <v>4691575</v>
      </c>
      <c r="AE99" s="175">
        <f t="shared" si="15"/>
        <v>708425</v>
      </c>
      <c r="AF99" s="259">
        <v>13921</v>
      </c>
      <c r="AG99" s="260">
        <v>44379</v>
      </c>
      <c r="AH99" s="261">
        <f>5400000-708425</f>
        <v>4691575</v>
      </c>
      <c r="AI99" s="261">
        <f t="shared" si="16"/>
        <v>708425</v>
      </c>
      <c r="AJ99" s="259" t="s">
        <v>796</v>
      </c>
      <c r="AK99" s="259" t="s">
        <v>790</v>
      </c>
      <c r="AL99" s="275">
        <f>678300+1300075+904400</f>
        <v>2882775</v>
      </c>
      <c r="AM99" s="232"/>
      <c r="AN99" s="216"/>
      <c r="AO99" s="283"/>
      <c r="AP99" s="283"/>
      <c r="AQ99" s="283"/>
      <c r="AR99" s="283"/>
      <c r="AS99" s="283"/>
      <c r="AT99" s="283"/>
      <c r="AU99" s="283"/>
      <c r="AV99" s="283"/>
      <c r="AW99" s="283"/>
      <c r="AX99" s="283"/>
      <c r="AY99" s="283"/>
      <c r="AZ99" s="283"/>
      <c r="BA99" s="283"/>
      <c r="BB99" s="283"/>
      <c r="BC99" s="283"/>
      <c r="BD99" s="283"/>
      <c r="BE99" s="283"/>
      <c r="BF99" s="283"/>
      <c r="BG99" s="283"/>
      <c r="BH99" s="283"/>
      <c r="BI99" s="283"/>
      <c r="BJ99" s="283"/>
      <c r="BK99" s="283"/>
      <c r="BL99" s="283"/>
      <c r="BM99" s="283"/>
      <c r="BN99" s="283"/>
      <c r="BO99" s="283"/>
      <c r="BP99" s="283"/>
      <c r="BQ99" s="283"/>
      <c r="BR99" s="283"/>
      <c r="BS99" s="283"/>
      <c r="BT99" s="283"/>
      <c r="BU99" s="283"/>
      <c r="BV99" s="283"/>
      <c r="BW99" s="283"/>
      <c r="BX99" s="283"/>
      <c r="BY99" s="283"/>
      <c r="BZ99" s="283"/>
      <c r="CA99" s="283"/>
      <c r="CB99" s="283"/>
      <c r="CC99" s="283"/>
      <c r="CD99" s="283"/>
      <c r="CE99" s="283"/>
      <c r="CF99" s="283"/>
      <c r="CG99" s="283"/>
      <c r="CH99" s="283"/>
      <c r="CI99" s="283"/>
      <c r="CJ99" s="283"/>
      <c r="CK99" s="283"/>
      <c r="CL99" s="283"/>
      <c r="CM99" s="283"/>
      <c r="CN99" s="283"/>
      <c r="CO99" s="283"/>
      <c r="CP99" s="283"/>
      <c r="CQ99" s="283"/>
    </row>
    <row r="100" spans="1:95" ht="104.25" customHeight="1" x14ac:dyDescent="0.3">
      <c r="A100" s="7" t="s">
        <v>258</v>
      </c>
      <c r="B100" s="61" t="s">
        <v>213</v>
      </c>
      <c r="C100" s="251" t="s">
        <v>259</v>
      </c>
      <c r="D100" s="69" t="s">
        <v>284</v>
      </c>
      <c r="E100" s="7" t="s">
        <v>261</v>
      </c>
      <c r="F100" s="66">
        <v>43233205</v>
      </c>
      <c r="G100" s="249" t="s">
        <v>289</v>
      </c>
      <c r="H100" s="67">
        <v>6</v>
      </c>
      <c r="I100" s="67">
        <v>6</v>
      </c>
      <c r="J100" s="67">
        <v>1</v>
      </c>
      <c r="K100" s="67">
        <v>1</v>
      </c>
      <c r="L100" s="7" t="s">
        <v>182</v>
      </c>
      <c r="M100" s="90" t="s">
        <v>46</v>
      </c>
      <c r="N100" s="154">
        <v>14500000</v>
      </c>
      <c r="O100" s="7">
        <v>0</v>
      </c>
      <c r="P100" s="7">
        <v>0</v>
      </c>
      <c r="Q100" s="7" t="s">
        <v>47</v>
      </c>
      <c r="R100" s="7" t="s">
        <v>48</v>
      </c>
      <c r="S100" s="90" t="s">
        <v>247</v>
      </c>
      <c r="T100" s="90">
        <v>3846666</v>
      </c>
      <c r="U100" s="68" t="s">
        <v>248</v>
      </c>
      <c r="V100" s="7" t="s">
        <v>51</v>
      </c>
      <c r="W100" s="233" t="s">
        <v>275</v>
      </c>
      <c r="X100" s="233" t="s">
        <v>277</v>
      </c>
      <c r="Y100" s="233"/>
      <c r="Z100" s="233"/>
      <c r="AA100" s="298">
        <f>4857113+645887</f>
        <v>5503000</v>
      </c>
      <c r="AB100" s="233">
        <f t="shared" si="20"/>
        <v>8997000</v>
      </c>
      <c r="AC100" s="255">
        <v>14221</v>
      </c>
      <c r="AD100" s="175">
        <f>14096787-5099787</f>
        <v>8997000</v>
      </c>
      <c r="AE100" s="175">
        <f t="shared" si="15"/>
        <v>0</v>
      </c>
      <c r="AF100" s="259">
        <v>16921</v>
      </c>
      <c r="AG100" s="260">
        <v>44420</v>
      </c>
      <c r="AH100" s="261">
        <v>8997000</v>
      </c>
      <c r="AI100" s="261">
        <f t="shared" si="16"/>
        <v>0</v>
      </c>
      <c r="AJ100" s="259" t="s">
        <v>868</v>
      </c>
      <c r="AK100" s="259" t="s">
        <v>867</v>
      </c>
      <c r="AL100" s="275">
        <v>8997000</v>
      </c>
      <c r="AM100" s="7"/>
      <c r="AN100" s="216"/>
    </row>
    <row r="101" spans="1:95" ht="104.25" customHeight="1" x14ac:dyDescent="0.3">
      <c r="A101" s="90" t="s">
        <v>258</v>
      </c>
      <c r="B101" s="61" t="s">
        <v>213</v>
      </c>
      <c r="C101" s="251" t="s">
        <v>259</v>
      </c>
      <c r="D101" s="69" t="s">
        <v>284</v>
      </c>
      <c r="E101" s="7" t="s">
        <v>261</v>
      </c>
      <c r="F101" s="84">
        <v>81112200</v>
      </c>
      <c r="G101" s="249" t="s">
        <v>290</v>
      </c>
      <c r="H101" s="67">
        <v>5</v>
      </c>
      <c r="I101" s="67">
        <v>6</v>
      </c>
      <c r="J101" s="67" t="s">
        <v>291</v>
      </c>
      <c r="K101" s="7">
        <v>0</v>
      </c>
      <c r="L101" s="7" t="s">
        <v>182</v>
      </c>
      <c r="M101" s="90" t="s">
        <v>46</v>
      </c>
      <c r="N101" s="154">
        <f>15000000-14369735</f>
        <v>630265</v>
      </c>
      <c r="O101" s="7">
        <v>0</v>
      </c>
      <c r="P101" s="7">
        <v>0</v>
      </c>
      <c r="Q101" s="7" t="s">
        <v>47</v>
      </c>
      <c r="R101" s="7" t="s">
        <v>48</v>
      </c>
      <c r="S101" s="90" t="s">
        <v>247</v>
      </c>
      <c r="T101" s="90">
        <v>3846666</v>
      </c>
      <c r="U101" s="68" t="s">
        <v>248</v>
      </c>
      <c r="V101" s="7" t="s">
        <v>51</v>
      </c>
      <c r="W101" s="83" t="s">
        <v>275</v>
      </c>
      <c r="X101" s="69" t="s">
        <v>286</v>
      </c>
      <c r="Y101" s="7"/>
      <c r="Z101" s="7"/>
      <c r="AA101" s="258">
        <v>93702</v>
      </c>
      <c r="AB101" s="8">
        <f t="shared" si="20"/>
        <v>536563</v>
      </c>
      <c r="AC101" s="174">
        <v>10621</v>
      </c>
      <c r="AD101" s="175">
        <v>536563</v>
      </c>
      <c r="AE101" s="175">
        <f t="shared" si="15"/>
        <v>0</v>
      </c>
      <c r="AF101" s="259">
        <v>12421</v>
      </c>
      <c r="AG101" s="263" t="s">
        <v>292</v>
      </c>
      <c r="AH101" s="261">
        <v>536563</v>
      </c>
      <c r="AI101" s="261">
        <f>+AB101-AH101</f>
        <v>0</v>
      </c>
      <c r="AJ101" s="259" t="s">
        <v>870</v>
      </c>
      <c r="AK101" s="259" t="s">
        <v>869</v>
      </c>
      <c r="AL101" s="275">
        <v>536563</v>
      </c>
      <c r="AM101" s="7" t="s">
        <v>960</v>
      </c>
      <c r="AN101" s="216"/>
      <c r="AO101" s="283"/>
      <c r="AP101" s="283"/>
      <c r="AQ101" s="283"/>
      <c r="AR101" s="283"/>
      <c r="AS101" s="283"/>
      <c r="AT101" s="283"/>
      <c r="AU101" s="283"/>
      <c r="AV101" s="283"/>
      <c r="AW101" s="283"/>
      <c r="AX101" s="283"/>
      <c r="AY101" s="283"/>
      <c r="AZ101" s="283"/>
      <c r="BA101" s="283"/>
      <c r="BB101" s="283"/>
      <c r="BC101" s="283"/>
      <c r="BD101" s="283"/>
      <c r="BE101" s="283"/>
      <c r="BF101" s="283"/>
      <c r="BG101" s="283"/>
      <c r="BH101" s="283"/>
      <c r="BI101" s="283"/>
      <c r="BJ101" s="283"/>
      <c r="BK101" s="283"/>
      <c r="BL101" s="283"/>
      <c r="BM101" s="283"/>
      <c r="BN101" s="283"/>
      <c r="BO101" s="283"/>
      <c r="BP101" s="283"/>
      <c r="BQ101" s="283"/>
      <c r="BR101" s="283"/>
      <c r="BS101" s="283"/>
      <c r="BT101" s="283"/>
      <c r="BU101" s="283"/>
      <c r="BV101" s="283"/>
      <c r="BW101" s="283"/>
      <c r="BX101" s="283"/>
      <c r="BY101" s="283"/>
      <c r="BZ101" s="283"/>
      <c r="CA101" s="283"/>
      <c r="CB101" s="283"/>
      <c r="CC101" s="283"/>
      <c r="CD101" s="283"/>
      <c r="CE101" s="283"/>
      <c r="CF101" s="283"/>
      <c r="CG101" s="283"/>
      <c r="CH101" s="283"/>
      <c r="CI101" s="283"/>
      <c r="CJ101" s="283"/>
      <c r="CK101" s="283"/>
      <c r="CL101" s="283"/>
      <c r="CM101" s="283"/>
      <c r="CN101" s="283"/>
      <c r="CO101" s="283"/>
      <c r="CP101" s="283"/>
      <c r="CQ101" s="283"/>
    </row>
    <row r="102" spans="1:95" ht="104.25" customHeight="1" x14ac:dyDescent="0.3">
      <c r="A102" s="90" t="s">
        <v>258</v>
      </c>
      <c r="B102" s="61" t="s">
        <v>213</v>
      </c>
      <c r="C102" s="251" t="s">
        <v>259</v>
      </c>
      <c r="D102" s="69" t="s">
        <v>284</v>
      </c>
      <c r="E102" s="7" t="s">
        <v>261</v>
      </c>
      <c r="F102" s="84">
        <v>81112200</v>
      </c>
      <c r="G102" s="249" t="s">
        <v>290</v>
      </c>
      <c r="H102" s="67">
        <v>5</v>
      </c>
      <c r="I102" s="67">
        <v>6</v>
      </c>
      <c r="J102" s="67" t="s">
        <v>291</v>
      </c>
      <c r="K102" s="7">
        <v>0</v>
      </c>
      <c r="L102" s="7" t="s">
        <v>182</v>
      </c>
      <c r="M102" s="90" t="s">
        <v>293</v>
      </c>
      <c r="N102" s="154">
        <v>14369735</v>
      </c>
      <c r="O102" s="7">
        <v>0</v>
      </c>
      <c r="P102" s="7">
        <v>0</v>
      </c>
      <c r="Q102" s="7" t="s">
        <v>47</v>
      </c>
      <c r="R102" s="7" t="s">
        <v>48</v>
      </c>
      <c r="S102" s="90" t="s">
        <v>247</v>
      </c>
      <c r="T102" s="90">
        <v>3846666</v>
      </c>
      <c r="U102" s="68" t="s">
        <v>248</v>
      </c>
      <c r="V102" s="7" t="s">
        <v>51</v>
      </c>
      <c r="W102" s="83" t="s">
        <v>275</v>
      </c>
      <c r="X102" s="69" t="s">
        <v>286</v>
      </c>
      <c r="Y102" s="7"/>
      <c r="Z102" s="7"/>
      <c r="AA102" s="258">
        <v>4329526</v>
      </c>
      <c r="AB102" s="8">
        <f t="shared" si="20"/>
        <v>10040209</v>
      </c>
      <c r="AC102" s="174">
        <v>10621</v>
      </c>
      <c r="AD102" s="175">
        <f>14369735-4329526</f>
        <v>10040209</v>
      </c>
      <c r="AE102" s="175">
        <f t="shared" si="15"/>
        <v>0</v>
      </c>
      <c r="AF102" s="259">
        <v>12421</v>
      </c>
      <c r="AG102" s="263" t="s">
        <v>292</v>
      </c>
      <c r="AH102" s="263">
        <v>10040209</v>
      </c>
      <c r="AI102" s="261">
        <f>+AB102-AH102</f>
        <v>0</v>
      </c>
      <c r="AJ102" s="259" t="s">
        <v>870</v>
      </c>
      <c r="AK102" s="259" t="s">
        <v>869</v>
      </c>
      <c r="AL102" s="275">
        <v>10040209</v>
      </c>
      <c r="AM102" s="7" t="s">
        <v>960</v>
      </c>
      <c r="AN102" s="216"/>
      <c r="AO102" s="283"/>
      <c r="AP102" s="283"/>
      <c r="AQ102" s="283"/>
      <c r="AR102" s="283"/>
      <c r="AS102" s="283"/>
      <c r="AT102" s="283"/>
      <c r="AU102" s="283"/>
      <c r="AV102" s="283"/>
      <c r="AW102" s="283"/>
      <c r="AX102" s="283"/>
      <c r="AY102" s="283"/>
      <c r="AZ102" s="283"/>
      <c r="BA102" s="283"/>
      <c r="BB102" s="283"/>
      <c r="BC102" s="283"/>
      <c r="BD102" s="283"/>
      <c r="BE102" s="283"/>
      <c r="BF102" s="283"/>
      <c r="BG102" s="283"/>
      <c r="BH102" s="283"/>
      <c r="BI102" s="283"/>
      <c r="BJ102" s="283"/>
      <c r="BK102" s="283"/>
      <c r="BL102" s="283"/>
      <c r="BM102" s="283"/>
      <c r="BN102" s="283"/>
      <c r="BO102" s="283"/>
      <c r="BP102" s="283"/>
      <c r="BQ102" s="283"/>
      <c r="BR102" s="283"/>
      <c r="BS102" s="283"/>
      <c r="BT102" s="283"/>
      <c r="BU102" s="283"/>
      <c r="BV102" s="283"/>
      <c r="BW102" s="283"/>
      <c r="BX102" s="283"/>
      <c r="BY102" s="283"/>
      <c r="BZ102" s="283"/>
      <c r="CA102" s="283"/>
      <c r="CB102" s="283"/>
      <c r="CC102" s="283"/>
      <c r="CD102" s="283"/>
      <c r="CE102" s="283"/>
      <c r="CF102" s="283"/>
      <c r="CG102" s="283"/>
      <c r="CH102" s="283"/>
      <c r="CI102" s="283"/>
      <c r="CJ102" s="283"/>
      <c r="CK102" s="283"/>
      <c r="CL102" s="283"/>
      <c r="CM102" s="283"/>
      <c r="CN102" s="283"/>
      <c r="CO102" s="283"/>
      <c r="CP102" s="283"/>
      <c r="CQ102" s="283"/>
    </row>
    <row r="103" spans="1:95" ht="104.25" customHeight="1" x14ac:dyDescent="0.3">
      <c r="A103" s="7" t="s">
        <v>258</v>
      </c>
      <c r="B103" s="61" t="s">
        <v>213</v>
      </c>
      <c r="C103" s="251" t="s">
        <v>259</v>
      </c>
      <c r="D103" s="69" t="s">
        <v>284</v>
      </c>
      <c r="E103" s="7" t="s">
        <v>261</v>
      </c>
      <c r="F103" s="85">
        <v>81112200</v>
      </c>
      <c r="G103" s="249" t="s">
        <v>294</v>
      </c>
      <c r="H103" s="67">
        <v>1</v>
      </c>
      <c r="I103" s="67">
        <v>1</v>
      </c>
      <c r="J103" s="67" t="s">
        <v>820</v>
      </c>
      <c r="K103" s="67">
        <v>1</v>
      </c>
      <c r="L103" s="7" t="s">
        <v>182</v>
      </c>
      <c r="M103" s="90" t="s">
        <v>46</v>
      </c>
      <c r="N103" s="154">
        <v>24000000</v>
      </c>
      <c r="O103" s="7">
        <v>0</v>
      </c>
      <c r="P103" s="7">
        <v>0</v>
      </c>
      <c r="Q103" s="7" t="s">
        <v>47</v>
      </c>
      <c r="R103" s="7" t="s">
        <v>48</v>
      </c>
      <c r="S103" s="90" t="s">
        <v>247</v>
      </c>
      <c r="T103" s="90">
        <v>3846666</v>
      </c>
      <c r="U103" s="68" t="s">
        <v>248</v>
      </c>
      <c r="V103" s="7" t="s">
        <v>51</v>
      </c>
      <c r="W103" s="69" t="s">
        <v>85</v>
      </c>
      <c r="X103" s="69" t="s">
        <v>286</v>
      </c>
      <c r="Y103" s="7"/>
      <c r="Z103" s="7"/>
      <c r="AA103" s="298">
        <f>12435500+51250</f>
        <v>12486750</v>
      </c>
      <c r="AB103" s="8">
        <f t="shared" si="20"/>
        <v>11513250</v>
      </c>
      <c r="AC103" s="174" t="s">
        <v>797</v>
      </c>
      <c r="AD103" s="175">
        <f>16334650-4821400+12435500-12435500-1380400</f>
        <v>10132850</v>
      </c>
      <c r="AE103" s="175">
        <f t="shared" si="15"/>
        <v>1380400</v>
      </c>
      <c r="AF103" s="259">
        <v>4521</v>
      </c>
      <c r="AG103" s="260">
        <v>44229</v>
      </c>
      <c r="AH103" s="261">
        <f>16334650-4821400+12435500-12435500-1380400</f>
        <v>10132850</v>
      </c>
      <c r="AI103" s="261">
        <f t="shared" si="16"/>
        <v>1380400</v>
      </c>
      <c r="AJ103" s="259" t="s">
        <v>295</v>
      </c>
      <c r="AK103" s="259" t="s">
        <v>296</v>
      </c>
      <c r="AL103" s="275">
        <f>2130100+2820300+1612450+2302650+1267350</f>
        <v>10132850</v>
      </c>
      <c r="AM103" s="7" t="s">
        <v>798</v>
      </c>
      <c r="AN103" s="216"/>
    </row>
    <row r="104" spans="1:95" ht="104.25" customHeight="1" x14ac:dyDescent="0.3">
      <c r="A104" s="7" t="s">
        <v>258</v>
      </c>
      <c r="B104" s="61" t="s">
        <v>213</v>
      </c>
      <c r="C104" s="251" t="s">
        <v>259</v>
      </c>
      <c r="D104" s="69" t="s">
        <v>284</v>
      </c>
      <c r="E104" s="7" t="s">
        <v>261</v>
      </c>
      <c r="F104" s="85">
        <v>81112200</v>
      </c>
      <c r="G104" s="249" t="s">
        <v>822</v>
      </c>
      <c r="H104" s="67">
        <v>7</v>
      </c>
      <c r="I104" s="67">
        <v>7</v>
      </c>
      <c r="J104" s="67" t="s">
        <v>821</v>
      </c>
      <c r="K104" s="67">
        <v>0</v>
      </c>
      <c r="L104" s="7" t="s">
        <v>182</v>
      </c>
      <c r="M104" s="90" t="s">
        <v>46</v>
      </c>
      <c r="N104" s="154">
        <v>0</v>
      </c>
      <c r="O104" s="7">
        <v>0</v>
      </c>
      <c r="P104" s="7">
        <v>0</v>
      </c>
      <c r="Q104" s="7" t="s">
        <v>47</v>
      </c>
      <c r="R104" s="7" t="s">
        <v>48</v>
      </c>
      <c r="S104" s="90" t="s">
        <v>247</v>
      </c>
      <c r="T104" s="90">
        <v>3846666</v>
      </c>
      <c r="U104" s="68" t="s">
        <v>248</v>
      </c>
      <c r="V104" s="7" t="s">
        <v>51</v>
      </c>
      <c r="W104" s="69" t="s">
        <v>85</v>
      </c>
      <c r="X104" s="69" t="s">
        <v>286</v>
      </c>
      <c r="Y104" s="258">
        <v>12435500</v>
      </c>
      <c r="Z104" s="7"/>
      <c r="AA104" s="7"/>
      <c r="AB104" s="8">
        <f t="shared" ref="AB104" si="24">+N104+Y104+Z104-AA104</f>
        <v>12435500</v>
      </c>
      <c r="AC104" s="174">
        <v>13221</v>
      </c>
      <c r="AD104" s="175">
        <f>12435500-4313750</f>
        <v>8121750</v>
      </c>
      <c r="AE104" s="175">
        <f t="shared" ref="AE104" si="25">+AB104-AD104</f>
        <v>4313750</v>
      </c>
      <c r="AF104" s="259">
        <v>14921</v>
      </c>
      <c r="AG104" s="260">
        <v>44400</v>
      </c>
      <c r="AH104" s="261">
        <f>12435500-4313750</f>
        <v>8121750</v>
      </c>
      <c r="AI104" s="261">
        <f t="shared" ref="AI104" si="26">+AB104-AH104</f>
        <v>4313750</v>
      </c>
      <c r="AJ104" s="259" t="s">
        <v>831</v>
      </c>
      <c r="AK104" s="259" t="s">
        <v>296</v>
      </c>
      <c r="AL104" s="275">
        <f>1785000+1267350+1267350+1267350+1267350</f>
        <v>6854400</v>
      </c>
      <c r="AM104" s="7" t="s">
        <v>798</v>
      </c>
      <c r="AN104" s="216"/>
    </row>
    <row r="105" spans="1:95" ht="104.25" customHeight="1" x14ac:dyDescent="0.3">
      <c r="A105" s="90" t="s">
        <v>258</v>
      </c>
      <c r="B105" s="241" t="s">
        <v>213</v>
      </c>
      <c r="C105" s="251" t="s">
        <v>259</v>
      </c>
      <c r="D105" s="75" t="s">
        <v>284</v>
      </c>
      <c r="E105" s="90" t="s">
        <v>261</v>
      </c>
      <c r="F105" s="266">
        <v>81112220</v>
      </c>
      <c r="G105" s="249" t="s">
        <v>297</v>
      </c>
      <c r="H105" s="72">
        <v>5</v>
      </c>
      <c r="I105" s="72">
        <v>6</v>
      </c>
      <c r="J105" s="72">
        <v>6</v>
      </c>
      <c r="K105" s="72">
        <v>1</v>
      </c>
      <c r="L105" s="90" t="s">
        <v>182</v>
      </c>
      <c r="M105" s="90" t="s">
        <v>46</v>
      </c>
      <c r="N105" s="95">
        <v>5000000</v>
      </c>
      <c r="O105" s="90">
        <v>0</v>
      </c>
      <c r="P105" s="90">
        <v>0</v>
      </c>
      <c r="Q105" s="90" t="s">
        <v>47</v>
      </c>
      <c r="R105" s="90" t="s">
        <v>48</v>
      </c>
      <c r="S105" s="90" t="s">
        <v>247</v>
      </c>
      <c r="T105" s="90">
        <v>3846666</v>
      </c>
      <c r="U105" s="279" t="s">
        <v>248</v>
      </c>
      <c r="V105" s="90" t="s">
        <v>51</v>
      </c>
      <c r="W105" s="75" t="s">
        <v>85</v>
      </c>
      <c r="X105" s="75" t="s">
        <v>286</v>
      </c>
      <c r="Y105" s="90"/>
      <c r="Z105" s="90"/>
      <c r="AA105" s="90"/>
      <c r="AB105" s="237">
        <f t="shared" si="20"/>
        <v>5000000</v>
      </c>
      <c r="AC105" s="174">
        <v>10821</v>
      </c>
      <c r="AD105" s="175">
        <f>5000000-1445860.03</f>
        <v>3554139.9699999997</v>
      </c>
      <c r="AE105" s="175">
        <f t="shared" si="15"/>
        <v>1445860.0300000003</v>
      </c>
      <c r="AF105" s="259">
        <v>13821</v>
      </c>
      <c r="AG105" s="260">
        <v>44379</v>
      </c>
      <c r="AH105" s="261">
        <f>5000000-1445860.03</f>
        <v>3554139.9699999997</v>
      </c>
      <c r="AI105" s="261">
        <f t="shared" si="16"/>
        <v>1445860.0300000003</v>
      </c>
      <c r="AJ105" s="259" t="s">
        <v>794</v>
      </c>
      <c r="AK105" s="259" t="s">
        <v>795</v>
      </c>
      <c r="AL105" s="275">
        <f>444267.99+444267.98+1332804</f>
        <v>2221339.9699999997</v>
      </c>
      <c r="AM105" s="232"/>
      <c r="AN105" s="216"/>
      <c r="AO105" s="283"/>
      <c r="AP105" s="283"/>
      <c r="AQ105" s="283"/>
      <c r="AR105" s="283"/>
      <c r="AS105" s="283"/>
      <c r="AT105" s="283"/>
      <c r="AU105" s="283"/>
      <c r="AV105" s="283"/>
      <c r="AW105" s="283"/>
      <c r="AX105" s="283"/>
      <c r="AY105" s="283"/>
      <c r="AZ105" s="283"/>
      <c r="BA105" s="283"/>
      <c r="BB105" s="283"/>
      <c r="BC105" s="283"/>
      <c r="BD105" s="283"/>
      <c r="BE105" s="283"/>
      <c r="BF105" s="283"/>
      <c r="BG105" s="283"/>
      <c r="BH105" s="283"/>
      <c r="BI105" s="283"/>
      <c r="BJ105" s="283"/>
      <c r="BK105" s="283"/>
      <c r="BL105" s="283"/>
      <c r="BM105" s="283"/>
      <c r="BN105" s="283"/>
      <c r="BO105" s="283"/>
      <c r="BP105" s="283"/>
      <c r="BQ105" s="283"/>
      <c r="BR105" s="283"/>
      <c r="BS105" s="283"/>
      <c r="BT105" s="283"/>
      <c r="BU105" s="283"/>
      <c r="BV105" s="283"/>
      <c r="BW105" s="283"/>
      <c r="BX105" s="283"/>
      <c r="BY105" s="283"/>
      <c r="BZ105" s="283"/>
      <c r="CA105" s="283"/>
      <c r="CB105" s="283"/>
      <c r="CC105" s="283"/>
      <c r="CD105" s="283"/>
      <c r="CE105" s="283"/>
      <c r="CF105" s="283"/>
      <c r="CG105" s="283"/>
      <c r="CH105" s="283"/>
      <c r="CI105" s="283"/>
      <c r="CJ105" s="283"/>
      <c r="CK105" s="283"/>
      <c r="CL105" s="283"/>
      <c r="CM105" s="283"/>
      <c r="CN105" s="283"/>
      <c r="CO105" s="283"/>
      <c r="CP105" s="283"/>
      <c r="CQ105" s="283"/>
    </row>
    <row r="106" spans="1:95" ht="104.25" customHeight="1" x14ac:dyDescent="0.3">
      <c r="A106" s="90" t="s">
        <v>258</v>
      </c>
      <c r="B106" s="61" t="s">
        <v>213</v>
      </c>
      <c r="C106" s="251" t="s">
        <v>259</v>
      </c>
      <c r="D106" s="69" t="s">
        <v>284</v>
      </c>
      <c r="E106" s="7" t="s">
        <v>261</v>
      </c>
      <c r="F106" s="85">
        <v>83121700</v>
      </c>
      <c r="G106" s="249" t="s">
        <v>298</v>
      </c>
      <c r="H106" s="72">
        <v>5</v>
      </c>
      <c r="I106" s="72">
        <v>6</v>
      </c>
      <c r="J106" s="72">
        <v>6</v>
      </c>
      <c r="K106" s="72">
        <v>1</v>
      </c>
      <c r="L106" s="90" t="s">
        <v>182</v>
      </c>
      <c r="M106" s="90" t="s">
        <v>46</v>
      </c>
      <c r="N106" s="95">
        <v>10000000</v>
      </c>
      <c r="O106" s="90">
        <v>0</v>
      </c>
      <c r="P106" s="90">
        <v>0</v>
      </c>
      <c r="Q106" s="90" t="s">
        <v>47</v>
      </c>
      <c r="R106" s="90" t="s">
        <v>48</v>
      </c>
      <c r="S106" s="90" t="s">
        <v>247</v>
      </c>
      <c r="T106" s="90">
        <v>3846666</v>
      </c>
      <c r="U106" s="279" t="s">
        <v>248</v>
      </c>
      <c r="V106" s="90" t="s">
        <v>51</v>
      </c>
      <c r="W106" s="75" t="s">
        <v>85</v>
      </c>
      <c r="X106" s="75" t="s">
        <v>286</v>
      </c>
      <c r="Y106" s="90"/>
      <c r="Z106" s="90"/>
      <c r="AA106" s="235">
        <v>470000</v>
      </c>
      <c r="AB106" s="237">
        <f t="shared" si="20"/>
        <v>9530000</v>
      </c>
      <c r="AC106" s="174">
        <v>10721</v>
      </c>
      <c r="AD106" s="175">
        <f>10000000-470000-246930</f>
        <v>9283070</v>
      </c>
      <c r="AE106" s="175">
        <f t="shared" si="15"/>
        <v>246930</v>
      </c>
      <c r="AF106" s="259">
        <v>13721</v>
      </c>
      <c r="AG106" s="260">
        <v>44379</v>
      </c>
      <c r="AH106" s="261">
        <f>10000000-470000-246930</f>
        <v>9283070</v>
      </c>
      <c r="AI106" s="261">
        <f t="shared" si="16"/>
        <v>246930</v>
      </c>
      <c r="AJ106" s="259" t="s">
        <v>793</v>
      </c>
      <c r="AK106" s="259" t="s">
        <v>792</v>
      </c>
      <c r="AL106" s="275">
        <f>458000+7680070+1145000</f>
        <v>9283070</v>
      </c>
      <c r="AM106" s="232" t="s">
        <v>960</v>
      </c>
      <c r="AN106" s="216"/>
      <c r="AO106" s="283"/>
      <c r="AP106" s="283"/>
      <c r="AQ106" s="283"/>
      <c r="AR106" s="283"/>
      <c r="AS106" s="283"/>
      <c r="AT106" s="283"/>
      <c r="AU106" s="283"/>
      <c r="AV106" s="283"/>
      <c r="AW106" s="283"/>
      <c r="AX106" s="283"/>
      <c r="AY106" s="283"/>
      <c r="AZ106" s="283"/>
      <c r="BA106" s="283"/>
      <c r="BB106" s="283"/>
      <c r="BC106" s="283"/>
      <c r="BD106" s="283"/>
      <c r="BE106" s="283"/>
      <c r="BF106" s="283"/>
      <c r="BG106" s="283"/>
      <c r="BH106" s="283"/>
      <c r="BI106" s="283"/>
      <c r="BJ106" s="283"/>
      <c r="BK106" s="283"/>
      <c r="BL106" s="283"/>
      <c r="BM106" s="283"/>
      <c r="BN106" s="283"/>
      <c r="BO106" s="283"/>
      <c r="BP106" s="283"/>
      <c r="BQ106" s="283"/>
      <c r="BR106" s="283"/>
      <c r="BS106" s="283"/>
      <c r="BT106" s="283"/>
      <c r="BU106" s="283"/>
      <c r="BV106" s="283"/>
      <c r="BW106" s="283"/>
      <c r="BX106" s="283"/>
      <c r="BY106" s="283"/>
      <c r="BZ106" s="283"/>
      <c r="CA106" s="283"/>
      <c r="CB106" s="283"/>
      <c r="CC106" s="283"/>
      <c r="CD106" s="283"/>
      <c r="CE106" s="283"/>
      <c r="CF106" s="283"/>
      <c r="CG106" s="283"/>
      <c r="CH106" s="283"/>
      <c r="CI106" s="283"/>
      <c r="CJ106" s="283"/>
      <c r="CK106" s="283"/>
      <c r="CL106" s="283"/>
      <c r="CM106" s="283"/>
      <c r="CN106" s="283"/>
      <c r="CO106" s="283"/>
      <c r="CP106" s="283"/>
      <c r="CQ106" s="283"/>
    </row>
    <row r="107" spans="1:95" ht="104.25" customHeight="1" x14ac:dyDescent="0.3">
      <c r="A107" s="90" t="s">
        <v>258</v>
      </c>
      <c r="B107" s="61" t="s">
        <v>213</v>
      </c>
      <c r="C107" s="251" t="s">
        <v>259</v>
      </c>
      <c r="D107" s="75" t="s">
        <v>284</v>
      </c>
      <c r="E107" s="90" t="s">
        <v>261</v>
      </c>
      <c r="F107" s="266">
        <v>81112200</v>
      </c>
      <c r="G107" s="249" t="s">
        <v>299</v>
      </c>
      <c r="H107" s="72">
        <v>5</v>
      </c>
      <c r="I107" s="72">
        <v>5</v>
      </c>
      <c r="J107" s="72">
        <v>7</v>
      </c>
      <c r="K107" s="72">
        <v>1</v>
      </c>
      <c r="L107" s="90" t="s">
        <v>182</v>
      </c>
      <c r="M107" s="90" t="s">
        <v>46</v>
      </c>
      <c r="N107" s="95">
        <v>5000000</v>
      </c>
      <c r="O107" s="90">
        <v>0</v>
      </c>
      <c r="P107" s="90">
        <v>0</v>
      </c>
      <c r="Q107" s="90" t="s">
        <v>47</v>
      </c>
      <c r="R107" s="90" t="s">
        <v>48</v>
      </c>
      <c r="S107" s="90" t="s">
        <v>247</v>
      </c>
      <c r="T107" s="90">
        <v>3846666</v>
      </c>
      <c r="U107" s="279" t="s">
        <v>248</v>
      </c>
      <c r="V107" s="90" t="s">
        <v>51</v>
      </c>
      <c r="W107" s="75" t="s">
        <v>85</v>
      </c>
      <c r="X107" s="75" t="s">
        <v>286</v>
      </c>
      <c r="Y107" s="90"/>
      <c r="Z107" s="90"/>
      <c r="AA107" s="90"/>
      <c r="AB107" s="237">
        <f t="shared" si="20"/>
        <v>5000000</v>
      </c>
      <c r="AC107" s="174">
        <v>11321</v>
      </c>
      <c r="AD107" s="175">
        <f>5000000-1221512</f>
        <v>3778488</v>
      </c>
      <c r="AE107" s="175">
        <f t="shared" si="15"/>
        <v>1221512</v>
      </c>
      <c r="AF107" s="259">
        <v>13521</v>
      </c>
      <c r="AG107" s="260">
        <v>44378</v>
      </c>
      <c r="AH107" s="261">
        <f>5000000-1221512</f>
        <v>3778488</v>
      </c>
      <c r="AI107" s="261">
        <f t="shared" si="16"/>
        <v>1221512</v>
      </c>
      <c r="AJ107" s="259" t="s">
        <v>791</v>
      </c>
      <c r="AK107" s="259" t="s">
        <v>790</v>
      </c>
      <c r="AL107" s="275">
        <f>719712+1079568+419832+839664</f>
        <v>3058776</v>
      </c>
      <c r="AM107" s="232"/>
      <c r="AN107" s="216"/>
      <c r="AO107" s="283"/>
      <c r="AP107" s="283"/>
      <c r="AQ107" s="283"/>
      <c r="AR107" s="283"/>
      <c r="AS107" s="283"/>
      <c r="AT107" s="283"/>
      <c r="AU107" s="283"/>
      <c r="AV107" s="283"/>
      <c r="AW107" s="283"/>
      <c r="AX107" s="283"/>
      <c r="AY107" s="283"/>
      <c r="AZ107" s="283"/>
      <c r="BA107" s="283"/>
      <c r="BB107" s="283"/>
      <c r="BC107" s="283"/>
      <c r="BD107" s="283"/>
      <c r="BE107" s="283"/>
      <c r="BF107" s="283"/>
      <c r="BG107" s="283"/>
      <c r="BH107" s="283"/>
      <c r="BI107" s="283"/>
      <c r="BJ107" s="283"/>
      <c r="BK107" s="283"/>
      <c r="BL107" s="283"/>
      <c r="BM107" s="283"/>
      <c r="BN107" s="283"/>
      <c r="BO107" s="283"/>
      <c r="BP107" s="283"/>
      <c r="BQ107" s="283"/>
      <c r="BR107" s="283"/>
      <c r="BS107" s="283"/>
      <c r="BT107" s="283"/>
      <c r="BU107" s="283"/>
      <c r="BV107" s="283"/>
      <c r="BW107" s="283"/>
      <c r="BX107" s="283"/>
      <c r="BY107" s="283"/>
      <c r="BZ107" s="283"/>
      <c r="CA107" s="283"/>
      <c r="CB107" s="283"/>
      <c r="CC107" s="283"/>
      <c r="CD107" s="283"/>
      <c r="CE107" s="283"/>
      <c r="CF107" s="283"/>
      <c r="CG107" s="283"/>
      <c r="CH107" s="283"/>
      <c r="CI107" s="283"/>
      <c r="CJ107" s="283"/>
      <c r="CK107" s="283"/>
      <c r="CL107" s="283"/>
      <c r="CM107" s="283"/>
      <c r="CN107" s="283"/>
      <c r="CO107" s="283"/>
      <c r="CP107" s="283"/>
      <c r="CQ107" s="283"/>
    </row>
    <row r="108" spans="1:95" ht="104.25" customHeight="1" x14ac:dyDescent="0.3">
      <c r="A108" s="90" t="s">
        <v>258</v>
      </c>
      <c r="B108" s="61" t="s">
        <v>213</v>
      </c>
      <c r="C108" s="251" t="s">
        <v>259</v>
      </c>
      <c r="D108" s="75" t="s">
        <v>284</v>
      </c>
      <c r="E108" s="90" t="s">
        <v>261</v>
      </c>
      <c r="F108" s="266">
        <v>81112200</v>
      </c>
      <c r="G108" s="250" t="s">
        <v>300</v>
      </c>
      <c r="H108" s="72">
        <v>5</v>
      </c>
      <c r="I108" s="72">
        <v>5</v>
      </c>
      <c r="J108" s="72">
        <v>7</v>
      </c>
      <c r="K108" s="72">
        <v>1</v>
      </c>
      <c r="L108" s="90" t="s">
        <v>182</v>
      </c>
      <c r="M108" s="90" t="s">
        <v>46</v>
      </c>
      <c r="N108" s="267">
        <v>5000000</v>
      </c>
      <c r="O108" s="90">
        <v>0</v>
      </c>
      <c r="P108" s="90">
        <v>0</v>
      </c>
      <c r="Q108" s="90" t="s">
        <v>47</v>
      </c>
      <c r="R108" s="90" t="s">
        <v>48</v>
      </c>
      <c r="S108" s="90" t="s">
        <v>247</v>
      </c>
      <c r="T108" s="90">
        <v>3846666</v>
      </c>
      <c r="U108" s="279" t="s">
        <v>248</v>
      </c>
      <c r="V108" s="90" t="s">
        <v>51</v>
      </c>
      <c r="W108" s="75" t="s">
        <v>85</v>
      </c>
      <c r="X108" s="75" t="s">
        <v>286</v>
      </c>
      <c r="Y108" s="90"/>
      <c r="Z108" s="90"/>
      <c r="AA108" s="90"/>
      <c r="AB108" s="237">
        <f t="shared" si="20"/>
        <v>5000000</v>
      </c>
      <c r="AC108" s="248">
        <v>10921</v>
      </c>
      <c r="AD108" s="175">
        <f>5000000-1671331.5</f>
        <v>3328668.5</v>
      </c>
      <c r="AE108" s="175">
        <f t="shared" si="15"/>
        <v>1671331.5</v>
      </c>
      <c r="AF108" s="259">
        <v>12621</v>
      </c>
      <c r="AG108" s="259" t="s">
        <v>301</v>
      </c>
      <c r="AH108" s="261">
        <f>5000000-1671331.5</f>
        <v>3328668.5</v>
      </c>
      <c r="AI108" s="261">
        <f t="shared" si="16"/>
        <v>1671331.5</v>
      </c>
      <c r="AJ108" s="259" t="s">
        <v>871</v>
      </c>
      <c r="AK108" s="259" t="s">
        <v>790</v>
      </c>
      <c r="AL108" s="275">
        <f>772726.5+594405+653846+1069929</f>
        <v>3090906.5</v>
      </c>
      <c r="AM108" s="232"/>
      <c r="AN108" s="216"/>
      <c r="AO108" s="283"/>
      <c r="AP108" s="283"/>
      <c r="AQ108" s="283"/>
      <c r="AR108" s="283"/>
      <c r="AS108" s="283"/>
      <c r="AT108" s="283"/>
      <c r="AU108" s="283"/>
      <c r="AV108" s="283"/>
      <c r="AW108" s="283"/>
      <c r="AX108" s="283"/>
      <c r="AY108" s="283"/>
      <c r="AZ108" s="283"/>
      <c r="BA108" s="283"/>
      <c r="BB108" s="283"/>
      <c r="BC108" s="283"/>
      <c r="BD108" s="283"/>
      <c r="BE108" s="283"/>
      <c r="BF108" s="283"/>
      <c r="BG108" s="283"/>
      <c r="BH108" s="283"/>
      <c r="BI108" s="283"/>
      <c r="BJ108" s="283"/>
      <c r="BK108" s="283"/>
      <c r="BL108" s="283"/>
      <c r="BM108" s="283"/>
      <c r="BN108" s="283"/>
      <c r="BO108" s="283"/>
      <c r="BP108" s="283"/>
      <c r="BQ108" s="283"/>
      <c r="BR108" s="283"/>
      <c r="BS108" s="283"/>
      <c r="BT108" s="283"/>
      <c r="BU108" s="283"/>
      <c r="BV108" s="283"/>
      <c r="BW108" s="283"/>
      <c r="BX108" s="283"/>
      <c r="BY108" s="283"/>
      <c r="BZ108" s="283"/>
      <c r="CA108" s="283"/>
      <c r="CB108" s="283"/>
      <c r="CC108" s="283"/>
      <c r="CD108" s="283"/>
      <c r="CE108" s="283"/>
      <c r="CF108" s="283"/>
      <c r="CG108" s="283"/>
      <c r="CH108" s="283"/>
      <c r="CI108" s="283"/>
      <c r="CJ108" s="283"/>
      <c r="CK108" s="283"/>
      <c r="CL108" s="283"/>
      <c r="CM108" s="283"/>
      <c r="CN108" s="283"/>
      <c r="CO108" s="283"/>
      <c r="CP108" s="283"/>
      <c r="CQ108" s="283"/>
    </row>
    <row r="109" spans="1:95" ht="104.25" customHeight="1" x14ac:dyDescent="0.3">
      <c r="A109" s="90" t="s">
        <v>258</v>
      </c>
      <c r="B109" s="61" t="s">
        <v>213</v>
      </c>
      <c r="C109" s="251" t="s">
        <v>259</v>
      </c>
      <c r="D109" s="69" t="s">
        <v>284</v>
      </c>
      <c r="E109" s="7" t="s">
        <v>261</v>
      </c>
      <c r="F109" s="65">
        <v>80111600</v>
      </c>
      <c r="G109" s="71" t="s">
        <v>302</v>
      </c>
      <c r="H109" s="67">
        <v>1</v>
      </c>
      <c r="I109" s="67">
        <v>1</v>
      </c>
      <c r="J109" s="67">
        <v>11</v>
      </c>
      <c r="K109" s="67">
        <v>1</v>
      </c>
      <c r="L109" s="78" t="s">
        <v>45</v>
      </c>
      <c r="M109" s="7" t="s">
        <v>46</v>
      </c>
      <c r="N109" s="154">
        <f>2000000*11</f>
        <v>22000000</v>
      </c>
      <c r="O109" s="7">
        <v>0</v>
      </c>
      <c r="P109" s="7">
        <v>0</v>
      </c>
      <c r="Q109" s="7" t="s">
        <v>47</v>
      </c>
      <c r="R109" s="7" t="s">
        <v>48</v>
      </c>
      <c r="S109" s="90" t="s">
        <v>247</v>
      </c>
      <c r="T109" s="90">
        <v>3846666</v>
      </c>
      <c r="U109" s="68" t="s">
        <v>248</v>
      </c>
      <c r="V109" s="7" t="s">
        <v>51</v>
      </c>
      <c r="W109" s="69" t="s">
        <v>52</v>
      </c>
      <c r="X109" s="69" t="s">
        <v>89</v>
      </c>
      <c r="Y109" s="90"/>
      <c r="Z109" s="90"/>
      <c r="AA109" s="90"/>
      <c r="AB109" s="8">
        <f t="shared" si="20"/>
        <v>22000000</v>
      </c>
      <c r="AC109" s="174">
        <v>3521</v>
      </c>
      <c r="AD109" s="175">
        <v>22000000</v>
      </c>
      <c r="AE109" s="175">
        <f t="shared" si="15"/>
        <v>0</v>
      </c>
      <c r="AF109" s="259">
        <v>3621</v>
      </c>
      <c r="AG109" s="260">
        <v>44225</v>
      </c>
      <c r="AH109" s="261">
        <v>22000000</v>
      </c>
      <c r="AI109" s="261">
        <f t="shared" si="16"/>
        <v>0</v>
      </c>
      <c r="AJ109" s="259" t="s">
        <v>303</v>
      </c>
      <c r="AK109" s="259" t="s">
        <v>304</v>
      </c>
      <c r="AL109" s="275">
        <f>2000000+2000000+2000000+2000000+2000000+2000000+2000000+2000000+2000000+2000000+2000000</f>
        <v>22000000</v>
      </c>
      <c r="AM109" s="7"/>
      <c r="AN109" s="216"/>
    </row>
    <row r="110" spans="1:95" ht="104.25" customHeight="1" x14ac:dyDescent="0.3">
      <c r="A110" s="90" t="s">
        <v>258</v>
      </c>
      <c r="B110" s="61" t="s">
        <v>213</v>
      </c>
      <c r="C110" s="251" t="s">
        <v>259</v>
      </c>
      <c r="D110" s="69" t="s">
        <v>284</v>
      </c>
      <c r="E110" s="7" t="s">
        <v>261</v>
      </c>
      <c r="F110" s="65">
        <v>80111600</v>
      </c>
      <c r="G110" s="71" t="s">
        <v>305</v>
      </c>
      <c r="H110" s="67">
        <v>1</v>
      </c>
      <c r="I110" s="67">
        <v>1</v>
      </c>
      <c r="J110" s="67" t="s">
        <v>306</v>
      </c>
      <c r="K110" s="67">
        <v>1</v>
      </c>
      <c r="L110" s="78" t="s">
        <v>45</v>
      </c>
      <c r="M110" s="7" t="s">
        <v>46</v>
      </c>
      <c r="N110" s="154">
        <f>3130298*11</f>
        <v>34433278</v>
      </c>
      <c r="O110" s="7">
        <v>0</v>
      </c>
      <c r="P110" s="7">
        <v>0</v>
      </c>
      <c r="Q110" s="7" t="s">
        <v>47</v>
      </c>
      <c r="R110" s="7" t="s">
        <v>48</v>
      </c>
      <c r="S110" s="90" t="s">
        <v>247</v>
      </c>
      <c r="T110" s="90">
        <v>3846666</v>
      </c>
      <c r="U110" s="68" t="s">
        <v>248</v>
      </c>
      <c r="V110" s="7" t="s">
        <v>51</v>
      </c>
      <c r="W110" s="69" t="s">
        <v>52</v>
      </c>
      <c r="X110" s="69" t="s">
        <v>89</v>
      </c>
      <c r="Y110" s="90"/>
      <c r="Z110" s="288"/>
      <c r="AA110" s="298">
        <v>11873278</v>
      </c>
      <c r="AB110" s="8">
        <f t="shared" si="20"/>
        <v>22560000</v>
      </c>
      <c r="AC110" s="174">
        <v>7021</v>
      </c>
      <c r="AD110" s="175">
        <v>22560000</v>
      </c>
      <c r="AE110" s="175">
        <f t="shared" si="15"/>
        <v>0</v>
      </c>
      <c r="AF110" s="259">
        <v>7721</v>
      </c>
      <c r="AG110" s="260">
        <v>44279</v>
      </c>
      <c r="AH110" s="261">
        <v>22560000</v>
      </c>
      <c r="AI110" s="261">
        <f t="shared" si="16"/>
        <v>0</v>
      </c>
      <c r="AJ110" s="259" t="s">
        <v>307</v>
      </c>
      <c r="AK110" s="259" t="s">
        <v>308</v>
      </c>
      <c r="AL110" s="275">
        <f>960000+3600000+3600000+3600000+3600000+3600000+3600000</f>
        <v>22560000</v>
      </c>
      <c r="AM110" s="7"/>
      <c r="AN110" s="216"/>
    </row>
    <row r="111" spans="1:95" s="89" customFormat="1" ht="26.25" customHeight="1" x14ac:dyDescent="0.3">
      <c r="A111" s="94" t="s">
        <v>309</v>
      </c>
      <c r="B111" s="90" t="s">
        <v>65</v>
      </c>
      <c r="C111" s="90" t="s">
        <v>310</v>
      </c>
      <c r="D111" s="90" t="s">
        <v>65</v>
      </c>
      <c r="E111" s="90" t="s">
        <v>142</v>
      </c>
      <c r="F111" s="90" t="s">
        <v>311</v>
      </c>
      <c r="G111" s="87" t="s">
        <v>312</v>
      </c>
      <c r="H111" s="86">
        <v>7</v>
      </c>
      <c r="I111" s="86">
        <v>8</v>
      </c>
      <c r="J111" s="86">
        <v>1</v>
      </c>
      <c r="K111" s="72">
        <v>1</v>
      </c>
      <c r="L111" s="7" t="s">
        <v>182</v>
      </c>
      <c r="M111" s="86" t="s">
        <v>119</v>
      </c>
      <c r="N111" s="95">
        <v>20000000</v>
      </c>
      <c r="O111" s="7">
        <v>0</v>
      </c>
      <c r="P111" s="7">
        <v>0</v>
      </c>
      <c r="Q111" s="90" t="s">
        <v>47</v>
      </c>
      <c r="R111" s="90" t="s">
        <v>48</v>
      </c>
      <c r="S111" s="63" t="s">
        <v>144</v>
      </c>
      <c r="T111" s="86">
        <v>3846666</v>
      </c>
      <c r="U111" s="93" t="s">
        <v>145</v>
      </c>
      <c r="V111" s="90" t="s">
        <v>313</v>
      </c>
      <c r="W111" s="75" t="s">
        <v>155</v>
      </c>
      <c r="X111" s="96" t="s">
        <v>146</v>
      </c>
      <c r="Y111" s="90"/>
      <c r="Z111" s="90"/>
      <c r="AA111" s="234">
        <f>17645867+2354133</f>
        <v>20000000</v>
      </c>
      <c r="AB111" s="8">
        <f t="shared" si="20"/>
        <v>0</v>
      </c>
      <c r="AC111" s="232"/>
      <c r="AD111" s="233"/>
      <c r="AE111" s="233">
        <f t="shared" si="15"/>
        <v>0</v>
      </c>
      <c r="AF111" s="232"/>
      <c r="AG111" s="232"/>
      <c r="AH111" s="233"/>
      <c r="AI111" s="233">
        <f t="shared" si="16"/>
        <v>0</v>
      </c>
      <c r="AJ111" s="232"/>
      <c r="AK111" s="232"/>
      <c r="AL111" s="306"/>
      <c r="AM111" s="232" t="s">
        <v>127</v>
      </c>
      <c r="AN111" s="252"/>
    </row>
    <row r="112" spans="1:95" s="89" customFormat="1" ht="26.25" customHeight="1" x14ac:dyDescent="0.3">
      <c r="A112" s="94" t="s">
        <v>314</v>
      </c>
      <c r="B112" s="90" t="s">
        <v>65</v>
      </c>
      <c r="C112" s="61" t="s">
        <v>315</v>
      </c>
      <c r="D112" s="90" t="s">
        <v>65</v>
      </c>
      <c r="E112" s="90" t="s">
        <v>142</v>
      </c>
      <c r="F112" s="90">
        <v>50201713</v>
      </c>
      <c r="G112" s="231" t="s">
        <v>316</v>
      </c>
      <c r="H112" s="86">
        <v>2</v>
      </c>
      <c r="I112" s="86">
        <v>3</v>
      </c>
      <c r="J112" s="86">
        <v>9</v>
      </c>
      <c r="K112" s="72">
        <v>1</v>
      </c>
      <c r="L112" s="7" t="s">
        <v>182</v>
      </c>
      <c r="M112" s="86" t="s">
        <v>119</v>
      </c>
      <c r="N112" s="95">
        <v>110000</v>
      </c>
      <c r="O112" s="7">
        <v>0</v>
      </c>
      <c r="P112" s="7">
        <v>0</v>
      </c>
      <c r="Q112" s="90" t="s">
        <v>47</v>
      </c>
      <c r="R112" s="90" t="s">
        <v>48</v>
      </c>
      <c r="S112" s="63" t="s">
        <v>144</v>
      </c>
      <c r="T112" s="86">
        <v>3846666</v>
      </c>
      <c r="U112" s="93" t="s">
        <v>145</v>
      </c>
      <c r="V112" s="90" t="s">
        <v>313</v>
      </c>
      <c r="W112" s="75" t="s">
        <v>155</v>
      </c>
      <c r="X112" s="96" t="s">
        <v>146</v>
      </c>
      <c r="Y112" s="90"/>
      <c r="Z112" s="90"/>
      <c r="AA112" s="254">
        <v>23509.67</v>
      </c>
      <c r="AB112" s="8">
        <f t="shared" si="20"/>
        <v>86490.33</v>
      </c>
      <c r="AC112" s="174">
        <v>7621</v>
      </c>
      <c r="AD112" s="175">
        <v>86490.33</v>
      </c>
      <c r="AE112" s="175">
        <f t="shared" si="15"/>
        <v>0</v>
      </c>
      <c r="AF112" s="264">
        <v>8321</v>
      </c>
      <c r="AG112" s="260">
        <v>44281</v>
      </c>
      <c r="AH112" s="261">
        <v>86490.33</v>
      </c>
      <c r="AI112" s="261">
        <f t="shared" si="16"/>
        <v>0</v>
      </c>
      <c r="AJ112" s="259" t="s">
        <v>317</v>
      </c>
      <c r="AK112" s="259" t="s">
        <v>318</v>
      </c>
      <c r="AL112" s="306"/>
      <c r="AM112" s="90" t="s">
        <v>127</v>
      </c>
      <c r="AN112" s="252"/>
    </row>
    <row r="113" spans="1:40" s="89" customFormat="1" ht="26.25" customHeight="1" x14ac:dyDescent="0.3">
      <c r="A113" s="94" t="s">
        <v>319</v>
      </c>
      <c r="B113" s="90" t="s">
        <v>65</v>
      </c>
      <c r="C113" s="133" t="s">
        <v>320</v>
      </c>
      <c r="D113" s="90" t="s">
        <v>65</v>
      </c>
      <c r="E113" s="90" t="s">
        <v>142</v>
      </c>
      <c r="F113" s="90" t="s">
        <v>65</v>
      </c>
      <c r="G113" s="87" t="s">
        <v>321</v>
      </c>
      <c r="H113" s="86" t="s">
        <v>65</v>
      </c>
      <c r="I113" s="86" t="s">
        <v>65</v>
      </c>
      <c r="J113" s="86" t="s">
        <v>65</v>
      </c>
      <c r="K113" s="72">
        <v>1</v>
      </c>
      <c r="L113" s="92" t="s">
        <v>67</v>
      </c>
      <c r="M113" s="86" t="s">
        <v>46</v>
      </c>
      <c r="N113" s="95">
        <f>50000*11</f>
        <v>550000</v>
      </c>
      <c r="O113" s="7">
        <v>0</v>
      </c>
      <c r="P113" s="7">
        <v>0</v>
      </c>
      <c r="Q113" s="90" t="s">
        <v>47</v>
      </c>
      <c r="R113" s="90" t="s">
        <v>48</v>
      </c>
      <c r="S113" s="63" t="s">
        <v>144</v>
      </c>
      <c r="T113" s="86">
        <v>3846666</v>
      </c>
      <c r="U113" s="93" t="s">
        <v>145</v>
      </c>
      <c r="V113" s="90" t="s">
        <v>313</v>
      </c>
      <c r="W113" s="75" t="s">
        <v>322</v>
      </c>
      <c r="X113" s="96" t="s">
        <v>146</v>
      </c>
      <c r="Y113" s="90"/>
      <c r="Z113" s="90"/>
      <c r="AA113" s="236">
        <v>350000</v>
      </c>
      <c r="AB113" s="8">
        <f t="shared" si="20"/>
        <v>200000</v>
      </c>
      <c r="AC113" s="174">
        <v>5421</v>
      </c>
      <c r="AD113" s="175">
        <f>50000-50000</f>
        <v>0</v>
      </c>
      <c r="AE113" s="175">
        <f t="shared" si="15"/>
        <v>200000</v>
      </c>
      <c r="AF113" s="259">
        <v>5621</v>
      </c>
      <c r="AG113" s="260">
        <v>44243</v>
      </c>
      <c r="AH113" s="261">
        <f>50000-50000</f>
        <v>0</v>
      </c>
      <c r="AI113" s="261">
        <f t="shared" si="16"/>
        <v>200000</v>
      </c>
      <c r="AJ113" s="259" t="s">
        <v>323</v>
      </c>
      <c r="AK113" s="259" t="s">
        <v>322</v>
      </c>
      <c r="AL113" s="306">
        <f>50000-50000</f>
        <v>0</v>
      </c>
      <c r="AM113" s="90" t="s">
        <v>798</v>
      </c>
      <c r="AN113" s="252"/>
    </row>
    <row r="114" spans="1:40" s="89" customFormat="1" ht="26.25" customHeight="1" x14ac:dyDescent="0.3">
      <c r="A114" s="94" t="s">
        <v>319</v>
      </c>
      <c r="B114" s="90" t="s">
        <v>65</v>
      </c>
      <c r="C114" s="133" t="s">
        <v>320</v>
      </c>
      <c r="D114" s="90" t="s">
        <v>65</v>
      </c>
      <c r="E114" s="90" t="s">
        <v>142</v>
      </c>
      <c r="F114" s="90">
        <v>50161814</v>
      </c>
      <c r="G114" s="231" t="s">
        <v>324</v>
      </c>
      <c r="H114" s="86">
        <v>2</v>
      </c>
      <c r="I114" s="86">
        <v>3</v>
      </c>
      <c r="J114" s="86">
        <v>9</v>
      </c>
      <c r="K114" s="72">
        <v>1</v>
      </c>
      <c r="L114" s="7" t="s">
        <v>182</v>
      </c>
      <c r="M114" s="86" t="s">
        <v>119</v>
      </c>
      <c r="N114" s="95">
        <v>600000</v>
      </c>
      <c r="O114" s="7">
        <v>0</v>
      </c>
      <c r="P114" s="7">
        <v>0</v>
      </c>
      <c r="Q114" s="90" t="s">
        <v>47</v>
      </c>
      <c r="R114" s="90" t="s">
        <v>48</v>
      </c>
      <c r="S114" s="63" t="s">
        <v>144</v>
      </c>
      <c r="T114" s="86">
        <v>3846666</v>
      </c>
      <c r="U114" s="93" t="s">
        <v>145</v>
      </c>
      <c r="V114" s="90" t="s">
        <v>313</v>
      </c>
      <c r="W114" s="75" t="s">
        <v>155</v>
      </c>
      <c r="X114" s="96" t="s">
        <v>146</v>
      </c>
      <c r="Y114" s="90"/>
      <c r="Z114" s="90"/>
      <c r="AA114" s="236">
        <v>481488.83999999997</v>
      </c>
      <c r="AB114" s="8">
        <f t="shared" si="20"/>
        <v>118511.16000000003</v>
      </c>
      <c r="AC114" s="174">
        <v>7621</v>
      </c>
      <c r="AD114" s="175">
        <v>118511.16</v>
      </c>
      <c r="AE114" s="175">
        <f t="shared" si="15"/>
        <v>0</v>
      </c>
      <c r="AF114" s="264">
        <v>8321</v>
      </c>
      <c r="AG114" s="260">
        <v>44281</v>
      </c>
      <c r="AH114" s="261">
        <v>118511.16</v>
      </c>
      <c r="AI114" s="261">
        <f t="shared" si="16"/>
        <v>0</v>
      </c>
      <c r="AJ114" s="259" t="s">
        <v>317</v>
      </c>
      <c r="AK114" s="259" t="s">
        <v>318</v>
      </c>
      <c r="AL114" s="306"/>
      <c r="AM114" s="90" t="s">
        <v>127</v>
      </c>
      <c r="AN114" s="252"/>
    </row>
    <row r="115" spans="1:40" s="89" customFormat="1" ht="26.25" customHeight="1" x14ac:dyDescent="0.3">
      <c r="A115" s="94" t="s">
        <v>319</v>
      </c>
      <c r="B115" s="90" t="s">
        <v>65</v>
      </c>
      <c r="C115" s="133" t="s">
        <v>320</v>
      </c>
      <c r="D115" s="90" t="s">
        <v>65</v>
      </c>
      <c r="E115" s="90" t="s">
        <v>142</v>
      </c>
      <c r="F115" s="90">
        <v>50201706</v>
      </c>
      <c r="G115" s="231" t="s">
        <v>325</v>
      </c>
      <c r="H115" s="86">
        <v>2</v>
      </c>
      <c r="I115" s="86">
        <v>3</v>
      </c>
      <c r="J115" s="86">
        <v>9</v>
      </c>
      <c r="K115" s="72">
        <v>1</v>
      </c>
      <c r="L115" s="7" t="s">
        <v>182</v>
      </c>
      <c r="M115" s="86" t="s">
        <v>119</v>
      </c>
      <c r="N115" s="95">
        <v>2500000</v>
      </c>
      <c r="O115" s="7">
        <v>0</v>
      </c>
      <c r="P115" s="7">
        <v>0</v>
      </c>
      <c r="Q115" s="90" t="s">
        <v>47</v>
      </c>
      <c r="R115" s="90" t="s">
        <v>48</v>
      </c>
      <c r="S115" s="63" t="s">
        <v>144</v>
      </c>
      <c r="T115" s="86">
        <v>3846666</v>
      </c>
      <c r="U115" s="93" t="s">
        <v>145</v>
      </c>
      <c r="V115" s="90" t="s">
        <v>313</v>
      </c>
      <c r="W115" s="75" t="s">
        <v>155</v>
      </c>
      <c r="X115" s="96" t="s">
        <v>146</v>
      </c>
      <c r="Y115" s="90"/>
      <c r="Z115" s="90"/>
      <c r="AA115" s="236">
        <v>1523964.6800000002</v>
      </c>
      <c r="AB115" s="8">
        <f t="shared" si="20"/>
        <v>976035.31999999983</v>
      </c>
      <c r="AC115" s="174">
        <v>7621</v>
      </c>
      <c r="AD115" s="175">
        <v>976035.32</v>
      </c>
      <c r="AE115" s="175">
        <f t="shared" si="15"/>
        <v>0</v>
      </c>
      <c r="AF115" s="264">
        <v>8321</v>
      </c>
      <c r="AG115" s="260">
        <v>44281</v>
      </c>
      <c r="AH115" s="261">
        <v>976035.32</v>
      </c>
      <c r="AI115" s="261">
        <f t="shared" si="16"/>
        <v>0</v>
      </c>
      <c r="AJ115" s="259" t="s">
        <v>317</v>
      </c>
      <c r="AK115" s="259" t="s">
        <v>318</v>
      </c>
      <c r="AL115" s="309">
        <v>217279.88</v>
      </c>
      <c r="AM115" s="90" t="s">
        <v>127</v>
      </c>
      <c r="AN115" s="252"/>
    </row>
    <row r="116" spans="1:40" s="89" customFormat="1" ht="26.25" customHeight="1" x14ac:dyDescent="0.3">
      <c r="A116" s="94" t="s">
        <v>326</v>
      </c>
      <c r="B116" s="90" t="s">
        <v>65</v>
      </c>
      <c r="C116" s="133" t="s">
        <v>320</v>
      </c>
      <c r="D116" s="90" t="s">
        <v>65</v>
      </c>
      <c r="E116" s="90" t="s">
        <v>231</v>
      </c>
      <c r="F116" s="90">
        <v>53102710</v>
      </c>
      <c r="G116" s="87" t="s">
        <v>327</v>
      </c>
      <c r="H116" s="86">
        <v>4</v>
      </c>
      <c r="I116" s="86">
        <v>4</v>
      </c>
      <c r="J116" s="86">
        <v>8</v>
      </c>
      <c r="K116" s="72">
        <v>1</v>
      </c>
      <c r="L116" s="7" t="s">
        <v>182</v>
      </c>
      <c r="M116" s="86" t="s">
        <v>46</v>
      </c>
      <c r="N116" s="95">
        <f>18000000-550000</f>
        <v>17450000</v>
      </c>
      <c r="O116" s="7">
        <v>0</v>
      </c>
      <c r="P116" s="7">
        <v>0</v>
      </c>
      <c r="Q116" s="90" t="s">
        <v>47</v>
      </c>
      <c r="R116" s="90" t="s">
        <v>48</v>
      </c>
      <c r="S116" s="63" t="s">
        <v>144</v>
      </c>
      <c r="T116" s="87">
        <v>3846666</v>
      </c>
      <c r="U116" s="93" t="s">
        <v>145</v>
      </c>
      <c r="V116" s="90" t="s">
        <v>313</v>
      </c>
      <c r="W116" s="75" t="s">
        <v>155</v>
      </c>
      <c r="X116" s="96" t="s">
        <v>233</v>
      </c>
      <c r="Y116" s="90"/>
      <c r="Z116" s="90"/>
      <c r="AA116" s="236"/>
      <c r="AB116" s="8">
        <f t="shared" si="20"/>
        <v>17450000</v>
      </c>
      <c r="AC116" s="174">
        <v>18821</v>
      </c>
      <c r="AD116" s="175">
        <v>17450000</v>
      </c>
      <c r="AE116" s="175">
        <f t="shared" si="15"/>
        <v>0</v>
      </c>
      <c r="AF116" s="259">
        <v>21721</v>
      </c>
      <c r="AG116" s="260">
        <v>44469</v>
      </c>
      <c r="AH116" s="261">
        <v>17450000</v>
      </c>
      <c r="AI116" s="261">
        <f t="shared" si="16"/>
        <v>0</v>
      </c>
      <c r="AJ116" s="259" t="s">
        <v>919</v>
      </c>
      <c r="AK116" s="259" t="s">
        <v>920</v>
      </c>
      <c r="AL116" s="309">
        <v>17450000</v>
      </c>
      <c r="AM116" s="232"/>
      <c r="AN116" s="252"/>
    </row>
    <row r="117" spans="1:40" s="89" customFormat="1" ht="26.25" customHeight="1" x14ac:dyDescent="0.3">
      <c r="A117" s="94" t="s">
        <v>326</v>
      </c>
      <c r="B117" s="90" t="s">
        <v>65</v>
      </c>
      <c r="C117" s="133" t="s">
        <v>320</v>
      </c>
      <c r="D117" s="90" t="s">
        <v>65</v>
      </c>
      <c r="E117" s="90" t="s">
        <v>231</v>
      </c>
      <c r="F117" s="90">
        <v>53102710</v>
      </c>
      <c r="G117" s="87" t="s">
        <v>327</v>
      </c>
      <c r="H117" s="86">
        <v>4</v>
      </c>
      <c r="I117" s="86">
        <v>4</v>
      </c>
      <c r="J117" s="86">
        <v>8</v>
      </c>
      <c r="K117" s="72">
        <v>1</v>
      </c>
      <c r="L117" s="7" t="s">
        <v>182</v>
      </c>
      <c r="M117" s="86" t="s">
        <v>119</v>
      </c>
      <c r="N117" s="95">
        <v>550000</v>
      </c>
      <c r="O117" s="7">
        <v>0</v>
      </c>
      <c r="P117" s="7">
        <v>0</v>
      </c>
      <c r="Q117" s="90" t="s">
        <v>47</v>
      </c>
      <c r="R117" s="90" t="s">
        <v>48</v>
      </c>
      <c r="S117" s="63" t="s">
        <v>144</v>
      </c>
      <c r="T117" s="87">
        <v>3846666</v>
      </c>
      <c r="U117" s="93" t="s">
        <v>145</v>
      </c>
      <c r="V117" s="90" t="s">
        <v>313</v>
      </c>
      <c r="W117" s="75" t="s">
        <v>155</v>
      </c>
      <c r="X117" s="96" t="s">
        <v>233</v>
      </c>
      <c r="Y117" s="90"/>
      <c r="Z117" s="90"/>
      <c r="AA117" s="236"/>
      <c r="AB117" s="8">
        <f t="shared" ref="AB117" si="27">+N117+Y117+Z117-AA117</f>
        <v>550000</v>
      </c>
      <c r="AC117" s="174">
        <v>18821</v>
      </c>
      <c r="AD117" s="175">
        <f>550000-0.2</f>
        <v>549999.80000000005</v>
      </c>
      <c r="AE117" s="175">
        <f t="shared" si="15"/>
        <v>0.19999999995343387</v>
      </c>
      <c r="AF117" s="259">
        <v>21721</v>
      </c>
      <c r="AG117" s="260">
        <v>44469</v>
      </c>
      <c r="AH117" s="261">
        <f>550000-0.2</f>
        <v>549999.80000000005</v>
      </c>
      <c r="AI117" s="261">
        <f t="shared" si="16"/>
        <v>0.19999999995343387</v>
      </c>
      <c r="AJ117" s="259" t="s">
        <v>919</v>
      </c>
      <c r="AK117" s="259" t="s">
        <v>920</v>
      </c>
      <c r="AL117" s="309">
        <v>549999.80000000005</v>
      </c>
      <c r="AM117" s="232"/>
      <c r="AN117" s="252"/>
    </row>
    <row r="118" spans="1:40" s="89" customFormat="1" ht="26.25" customHeight="1" x14ac:dyDescent="0.3">
      <c r="A118" s="94" t="s">
        <v>328</v>
      </c>
      <c r="B118" s="90" t="s">
        <v>65</v>
      </c>
      <c r="C118" s="141" t="s">
        <v>329</v>
      </c>
      <c r="D118" s="90" t="s">
        <v>65</v>
      </c>
      <c r="E118" s="90" t="s">
        <v>142</v>
      </c>
      <c r="F118" s="90" t="s">
        <v>65</v>
      </c>
      <c r="G118" s="87" t="s">
        <v>330</v>
      </c>
      <c r="H118" s="86" t="s">
        <v>65</v>
      </c>
      <c r="I118" s="86" t="s">
        <v>65</v>
      </c>
      <c r="J118" s="86" t="s">
        <v>65</v>
      </c>
      <c r="K118" s="86" t="s">
        <v>65</v>
      </c>
      <c r="L118" s="92" t="s">
        <v>67</v>
      </c>
      <c r="M118" s="86" t="s">
        <v>46</v>
      </c>
      <c r="N118" s="95">
        <f>90000*11</f>
        <v>990000</v>
      </c>
      <c r="O118" s="7">
        <v>0</v>
      </c>
      <c r="P118" s="7">
        <v>0</v>
      </c>
      <c r="Q118" s="90" t="s">
        <v>47</v>
      </c>
      <c r="R118" s="90" t="s">
        <v>48</v>
      </c>
      <c r="S118" s="63" t="s">
        <v>144</v>
      </c>
      <c r="T118" s="88">
        <v>3846666</v>
      </c>
      <c r="U118" s="93" t="s">
        <v>145</v>
      </c>
      <c r="V118" s="90" t="s">
        <v>313</v>
      </c>
      <c r="W118" s="75" t="s">
        <v>322</v>
      </c>
      <c r="X118" s="96" t="s">
        <v>146</v>
      </c>
      <c r="Y118" s="90"/>
      <c r="Z118" s="90"/>
      <c r="AA118" s="236">
        <v>580199</v>
      </c>
      <c r="AB118" s="8">
        <f t="shared" si="20"/>
        <v>409801</v>
      </c>
      <c r="AC118" s="174" t="s">
        <v>978</v>
      </c>
      <c r="AD118" s="175">
        <f>90000+49800.31+87700-87700+87700-90000</f>
        <v>137500.31</v>
      </c>
      <c r="AE118" s="175">
        <f t="shared" si="15"/>
        <v>272300.69</v>
      </c>
      <c r="AF118" s="259" t="s">
        <v>982</v>
      </c>
      <c r="AG118" s="260" t="s">
        <v>984</v>
      </c>
      <c r="AH118" s="261">
        <f>90000+49800.31+87700-87700+87700-90000</f>
        <v>137500.31</v>
      </c>
      <c r="AI118" s="261">
        <f t="shared" si="16"/>
        <v>272300.69</v>
      </c>
      <c r="AJ118" s="259" t="s">
        <v>986</v>
      </c>
      <c r="AK118" s="259" t="s">
        <v>322</v>
      </c>
      <c r="AL118" s="309">
        <f>90000+49800.31+87700-87700+87700-90000</f>
        <v>137500.31</v>
      </c>
      <c r="AM118" s="90" t="s">
        <v>798</v>
      </c>
      <c r="AN118" s="252"/>
    </row>
    <row r="119" spans="1:40" s="89" customFormat="1" ht="26.25" customHeight="1" x14ac:dyDescent="0.3">
      <c r="A119" s="94" t="s">
        <v>328</v>
      </c>
      <c r="B119" s="90" t="s">
        <v>65</v>
      </c>
      <c r="C119" s="141" t="s">
        <v>329</v>
      </c>
      <c r="D119" s="90" t="s">
        <v>65</v>
      </c>
      <c r="E119" s="90" t="s">
        <v>142</v>
      </c>
      <c r="F119" s="90" t="s">
        <v>331</v>
      </c>
      <c r="G119" s="87" t="s">
        <v>332</v>
      </c>
      <c r="H119" s="86">
        <v>6</v>
      </c>
      <c r="I119" s="86">
        <v>6</v>
      </c>
      <c r="J119" s="86">
        <v>1</v>
      </c>
      <c r="K119" s="72">
        <v>1</v>
      </c>
      <c r="L119" s="7" t="s">
        <v>182</v>
      </c>
      <c r="M119" s="86" t="s">
        <v>119</v>
      </c>
      <c r="N119" s="117">
        <f>5000000-500000</f>
        <v>4500000</v>
      </c>
      <c r="O119" s="7">
        <v>0</v>
      </c>
      <c r="P119" s="7">
        <v>0</v>
      </c>
      <c r="Q119" s="90" t="s">
        <v>47</v>
      </c>
      <c r="R119" s="90" t="s">
        <v>48</v>
      </c>
      <c r="S119" s="63" t="s">
        <v>144</v>
      </c>
      <c r="T119" s="88">
        <v>3846666</v>
      </c>
      <c r="U119" s="93" t="s">
        <v>145</v>
      </c>
      <c r="V119" s="90" t="s">
        <v>313</v>
      </c>
      <c r="W119" s="75" t="s">
        <v>333</v>
      </c>
      <c r="X119" s="96" t="s">
        <v>146</v>
      </c>
      <c r="Y119" s="90"/>
      <c r="Z119" s="90"/>
      <c r="AA119" s="236">
        <v>379030</v>
      </c>
      <c r="AB119" s="8">
        <f t="shared" si="20"/>
        <v>4120970</v>
      </c>
      <c r="AC119" s="174">
        <v>15021</v>
      </c>
      <c r="AD119" s="175">
        <v>4120970</v>
      </c>
      <c r="AE119" s="175">
        <f t="shared" si="15"/>
        <v>0</v>
      </c>
      <c r="AF119" s="277">
        <v>15721</v>
      </c>
      <c r="AG119" s="260">
        <v>44410</v>
      </c>
      <c r="AH119" s="261">
        <v>4120970</v>
      </c>
      <c r="AI119" s="261">
        <f t="shared" si="16"/>
        <v>0</v>
      </c>
      <c r="AJ119" s="259" t="s">
        <v>836</v>
      </c>
      <c r="AK119" s="259" t="s">
        <v>815</v>
      </c>
      <c r="AL119" s="309">
        <v>4120970</v>
      </c>
      <c r="AM119" s="90" t="s">
        <v>798</v>
      </c>
      <c r="AN119" s="252"/>
    </row>
    <row r="120" spans="1:40" s="89" customFormat="1" ht="26.25" customHeight="1" x14ac:dyDescent="0.3">
      <c r="A120" s="94" t="s">
        <v>328</v>
      </c>
      <c r="B120" s="90" t="s">
        <v>65</v>
      </c>
      <c r="C120" s="141" t="s">
        <v>329</v>
      </c>
      <c r="D120" s="90" t="s">
        <v>65</v>
      </c>
      <c r="E120" s="90" t="s">
        <v>142</v>
      </c>
      <c r="F120" s="90" t="s">
        <v>334</v>
      </c>
      <c r="G120" s="231" t="s">
        <v>335</v>
      </c>
      <c r="H120" s="86">
        <v>2</v>
      </c>
      <c r="I120" s="86">
        <v>3</v>
      </c>
      <c r="J120" s="86">
        <v>9</v>
      </c>
      <c r="K120" s="72">
        <v>1</v>
      </c>
      <c r="L120" s="7" t="s">
        <v>182</v>
      </c>
      <c r="M120" s="86" t="s">
        <v>119</v>
      </c>
      <c r="N120" s="117">
        <f>7000000-500000</f>
        <v>6500000</v>
      </c>
      <c r="O120" s="7">
        <v>0</v>
      </c>
      <c r="P120" s="7">
        <v>0</v>
      </c>
      <c r="Q120" s="90" t="s">
        <v>47</v>
      </c>
      <c r="R120" s="90" t="s">
        <v>48</v>
      </c>
      <c r="S120" s="63" t="s">
        <v>144</v>
      </c>
      <c r="T120" s="88">
        <v>3846666</v>
      </c>
      <c r="U120" s="93" t="s">
        <v>145</v>
      </c>
      <c r="V120" s="90" t="s">
        <v>313</v>
      </c>
      <c r="W120" s="75" t="s">
        <v>155</v>
      </c>
      <c r="X120" s="96" t="s">
        <v>146</v>
      </c>
      <c r="Y120" s="90"/>
      <c r="Z120" s="90"/>
      <c r="AA120" s="236">
        <f>2326390.51+600000+623580.92</f>
        <v>3549971.4299999997</v>
      </c>
      <c r="AB120" s="8">
        <f t="shared" si="20"/>
        <v>2950028.5700000003</v>
      </c>
      <c r="AC120" s="174">
        <v>7621</v>
      </c>
      <c r="AD120" s="175">
        <v>2950028.57</v>
      </c>
      <c r="AE120" s="175">
        <f t="shared" si="15"/>
        <v>0</v>
      </c>
      <c r="AF120" s="264">
        <v>8321</v>
      </c>
      <c r="AG120" s="260">
        <v>44281</v>
      </c>
      <c r="AH120" s="261">
        <v>2950028.57</v>
      </c>
      <c r="AI120" s="261">
        <f t="shared" si="16"/>
        <v>0</v>
      </c>
      <c r="AJ120" s="259" t="s">
        <v>317</v>
      </c>
      <c r="AK120" s="259" t="s">
        <v>318</v>
      </c>
      <c r="AL120" s="309">
        <v>12045.07</v>
      </c>
      <c r="AM120" s="90" t="s">
        <v>898</v>
      </c>
      <c r="AN120" s="252"/>
    </row>
    <row r="121" spans="1:40" s="89" customFormat="1" ht="26.25" customHeight="1" x14ac:dyDescent="0.3">
      <c r="A121" s="94" t="s">
        <v>336</v>
      </c>
      <c r="B121" s="90" t="s">
        <v>65</v>
      </c>
      <c r="C121" s="141" t="s">
        <v>329</v>
      </c>
      <c r="D121" s="90" t="s">
        <v>65</v>
      </c>
      <c r="E121" s="90" t="s">
        <v>142</v>
      </c>
      <c r="F121" s="90">
        <v>15101505</v>
      </c>
      <c r="G121" s="87" t="s">
        <v>337</v>
      </c>
      <c r="H121" s="86">
        <v>1</v>
      </c>
      <c r="I121" s="86">
        <v>1</v>
      </c>
      <c r="J121" s="86">
        <v>11</v>
      </c>
      <c r="K121" s="72">
        <v>1</v>
      </c>
      <c r="L121" s="7" t="s">
        <v>182</v>
      </c>
      <c r="M121" s="86" t="s">
        <v>119</v>
      </c>
      <c r="N121" s="117">
        <f>5000000-1000000</f>
        <v>4000000</v>
      </c>
      <c r="O121" s="7">
        <v>0</v>
      </c>
      <c r="P121" s="7">
        <v>0</v>
      </c>
      <c r="Q121" s="90" t="s">
        <v>47</v>
      </c>
      <c r="R121" s="90" t="s">
        <v>48</v>
      </c>
      <c r="S121" s="63" t="s">
        <v>144</v>
      </c>
      <c r="T121" s="88">
        <v>3846666</v>
      </c>
      <c r="U121" s="93" t="s">
        <v>145</v>
      </c>
      <c r="V121" s="90" t="s">
        <v>313</v>
      </c>
      <c r="W121" s="75" t="s">
        <v>155</v>
      </c>
      <c r="X121" s="96" t="s">
        <v>146</v>
      </c>
      <c r="Y121" s="90"/>
      <c r="Z121" s="90"/>
      <c r="AA121" s="236">
        <v>9895</v>
      </c>
      <c r="AB121" s="8">
        <f t="shared" si="20"/>
        <v>3990105</v>
      </c>
      <c r="AC121" s="174">
        <v>3421</v>
      </c>
      <c r="AD121" s="175">
        <v>3990105</v>
      </c>
      <c r="AE121" s="175">
        <f t="shared" si="15"/>
        <v>0</v>
      </c>
      <c r="AF121" s="259">
        <v>4321</v>
      </c>
      <c r="AG121" s="260">
        <v>44228</v>
      </c>
      <c r="AH121" s="261">
        <v>3990105</v>
      </c>
      <c r="AI121" s="261">
        <f t="shared" si="16"/>
        <v>0</v>
      </c>
      <c r="AJ121" s="259" t="s">
        <v>338</v>
      </c>
      <c r="AK121" s="259" t="s">
        <v>339</v>
      </c>
      <c r="AL121" s="309">
        <f>129563+112687+112269+111845+89466+96180+110542+360293</f>
        <v>1122845</v>
      </c>
      <c r="AM121" s="90" t="s">
        <v>127</v>
      </c>
      <c r="AN121" s="252"/>
    </row>
    <row r="122" spans="1:40" s="89" customFormat="1" ht="26.25" customHeight="1" x14ac:dyDescent="0.3">
      <c r="A122" s="94" t="s">
        <v>340</v>
      </c>
      <c r="B122" s="90" t="s">
        <v>65</v>
      </c>
      <c r="C122" s="141" t="s">
        <v>329</v>
      </c>
      <c r="D122" s="90" t="s">
        <v>65</v>
      </c>
      <c r="E122" s="90" t="s">
        <v>142</v>
      </c>
      <c r="F122" s="90">
        <v>44103103</v>
      </c>
      <c r="G122" s="87" t="s">
        <v>341</v>
      </c>
      <c r="H122" s="86">
        <v>6</v>
      </c>
      <c r="I122" s="86">
        <v>6</v>
      </c>
      <c r="J122" s="86">
        <v>1</v>
      </c>
      <c r="K122" s="72">
        <v>1</v>
      </c>
      <c r="L122" s="7" t="s">
        <v>182</v>
      </c>
      <c r="M122" s="86" t="s">
        <v>119</v>
      </c>
      <c r="N122" s="117">
        <f>11000000-5000000</f>
        <v>6000000</v>
      </c>
      <c r="O122" s="7">
        <v>0</v>
      </c>
      <c r="P122" s="7">
        <v>0</v>
      </c>
      <c r="Q122" s="90" t="s">
        <v>47</v>
      </c>
      <c r="R122" s="90" t="s">
        <v>48</v>
      </c>
      <c r="S122" s="63" t="s">
        <v>144</v>
      </c>
      <c r="T122" s="88">
        <v>3846666</v>
      </c>
      <c r="U122" s="93" t="s">
        <v>145</v>
      </c>
      <c r="V122" s="90" t="s">
        <v>313</v>
      </c>
      <c r="W122" s="75" t="s">
        <v>155</v>
      </c>
      <c r="X122" s="96" t="s">
        <v>146</v>
      </c>
      <c r="Y122" s="90"/>
      <c r="Z122" s="90"/>
      <c r="AA122" s="236">
        <v>311443</v>
      </c>
      <c r="AB122" s="8">
        <f t="shared" si="20"/>
        <v>5688557</v>
      </c>
      <c r="AC122" s="174">
        <v>15021</v>
      </c>
      <c r="AD122" s="175">
        <v>5688557</v>
      </c>
      <c r="AE122" s="175">
        <f t="shared" si="15"/>
        <v>0</v>
      </c>
      <c r="AF122" s="277">
        <v>15721</v>
      </c>
      <c r="AG122" s="260">
        <v>44410</v>
      </c>
      <c r="AH122" s="261">
        <v>5688557</v>
      </c>
      <c r="AI122" s="261">
        <f t="shared" si="16"/>
        <v>0</v>
      </c>
      <c r="AJ122" s="259" t="s">
        <v>836</v>
      </c>
      <c r="AK122" s="259" t="s">
        <v>815</v>
      </c>
      <c r="AL122" s="309">
        <v>5688557</v>
      </c>
      <c r="AM122" s="90" t="s">
        <v>798</v>
      </c>
      <c r="AN122" s="252"/>
    </row>
    <row r="123" spans="1:40" s="89" customFormat="1" ht="26.25" customHeight="1" x14ac:dyDescent="0.3">
      <c r="A123" s="94" t="s">
        <v>340</v>
      </c>
      <c r="B123" s="90" t="s">
        <v>65</v>
      </c>
      <c r="C123" s="141" t="s">
        <v>329</v>
      </c>
      <c r="D123" s="90" t="s">
        <v>65</v>
      </c>
      <c r="E123" s="90" t="s">
        <v>142</v>
      </c>
      <c r="F123" s="90">
        <v>12352104</v>
      </c>
      <c r="G123" s="231" t="s">
        <v>342</v>
      </c>
      <c r="H123" s="86">
        <v>2</v>
      </c>
      <c r="I123" s="86">
        <v>3</v>
      </c>
      <c r="J123" s="86">
        <v>9</v>
      </c>
      <c r="K123" s="72">
        <v>1</v>
      </c>
      <c r="L123" s="7" t="s">
        <v>182</v>
      </c>
      <c r="M123" s="86" t="s">
        <v>119</v>
      </c>
      <c r="N123" s="95">
        <v>800000</v>
      </c>
      <c r="O123" s="7">
        <v>0</v>
      </c>
      <c r="P123" s="7">
        <v>0</v>
      </c>
      <c r="Q123" s="90" t="s">
        <v>47</v>
      </c>
      <c r="R123" s="90" t="s">
        <v>48</v>
      </c>
      <c r="S123" s="63" t="s">
        <v>144</v>
      </c>
      <c r="T123" s="88">
        <v>3846666</v>
      </c>
      <c r="U123" s="93" t="s">
        <v>145</v>
      </c>
      <c r="V123" s="90" t="s">
        <v>313</v>
      </c>
      <c r="W123" s="75" t="s">
        <v>155</v>
      </c>
      <c r="X123" s="96" t="s">
        <v>146</v>
      </c>
      <c r="Y123" s="90"/>
      <c r="Z123" s="90"/>
      <c r="AA123" s="236">
        <f>300000+210678.95</f>
        <v>510678.95</v>
      </c>
      <c r="AB123" s="8">
        <f t="shared" si="20"/>
        <v>289321.05</v>
      </c>
      <c r="AC123" s="174">
        <v>7621</v>
      </c>
      <c r="AD123" s="175">
        <v>289321.04880000005</v>
      </c>
      <c r="AE123" s="175">
        <f t="shared" si="15"/>
        <v>1.1999999405816197E-3</v>
      </c>
      <c r="AF123" s="264">
        <v>8321</v>
      </c>
      <c r="AG123" s="260">
        <v>44281</v>
      </c>
      <c r="AH123" s="261">
        <v>289321.04880000005</v>
      </c>
      <c r="AI123" s="261">
        <f t="shared" si="16"/>
        <v>1.1999999405816197E-3</v>
      </c>
      <c r="AJ123" s="259" t="s">
        <v>317</v>
      </c>
      <c r="AK123" s="259" t="s">
        <v>318</v>
      </c>
      <c r="AL123" s="309">
        <f>86016.17+97796.16</f>
        <v>183812.33000000002</v>
      </c>
      <c r="AM123" s="90" t="s">
        <v>897</v>
      </c>
      <c r="AN123" s="252"/>
    </row>
    <row r="124" spans="1:40" s="89" customFormat="1" ht="26.25" customHeight="1" x14ac:dyDescent="0.3">
      <c r="A124" s="94" t="s">
        <v>340</v>
      </c>
      <c r="B124" s="90" t="s">
        <v>65</v>
      </c>
      <c r="C124" s="141" t="s">
        <v>329</v>
      </c>
      <c r="D124" s="90" t="s">
        <v>65</v>
      </c>
      <c r="E124" s="90" t="s">
        <v>142</v>
      </c>
      <c r="F124" s="90">
        <v>47131700</v>
      </c>
      <c r="G124" s="231" t="s">
        <v>343</v>
      </c>
      <c r="H124" s="86">
        <v>2</v>
      </c>
      <c r="I124" s="86">
        <v>3</v>
      </c>
      <c r="J124" s="86">
        <v>9</v>
      </c>
      <c r="K124" s="72">
        <v>1</v>
      </c>
      <c r="L124" s="7" t="s">
        <v>182</v>
      </c>
      <c r="M124" s="86" t="s">
        <v>119</v>
      </c>
      <c r="N124" s="95">
        <v>800000</v>
      </c>
      <c r="O124" s="7">
        <v>0</v>
      </c>
      <c r="P124" s="7">
        <v>0</v>
      </c>
      <c r="Q124" s="90" t="s">
        <v>47</v>
      </c>
      <c r="R124" s="90" t="s">
        <v>48</v>
      </c>
      <c r="S124" s="63" t="s">
        <v>144</v>
      </c>
      <c r="T124" s="88">
        <v>3846666</v>
      </c>
      <c r="U124" s="93" t="s">
        <v>145</v>
      </c>
      <c r="V124" s="90" t="s">
        <v>313</v>
      </c>
      <c r="W124" s="75" t="s">
        <v>155</v>
      </c>
      <c r="X124" s="96" t="s">
        <v>146</v>
      </c>
      <c r="Y124" s="90"/>
      <c r="Z124" s="90"/>
      <c r="AA124" s="301">
        <f>500000+211842.69</f>
        <v>711842.69</v>
      </c>
      <c r="AB124" s="8">
        <f t="shared" si="20"/>
        <v>88157.310000000056</v>
      </c>
      <c r="AC124" s="174">
        <v>7621</v>
      </c>
      <c r="AD124" s="175">
        <v>88157.311199999996</v>
      </c>
      <c r="AE124" s="175">
        <f>+AB124-AD124</f>
        <v>-1.1999999405816197E-3</v>
      </c>
      <c r="AF124" s="264">
        <v>8321</v>
      </c>
      <c r="AG124" s="260">
        <v>44281</v>
      </c>
      <c r="AH124" s="261">
        <v>88157.311199999996</v>
      </c>
      <c r="AI124" s="261">
        <f t="shared" si="16"/>
        <v>-1.1999999405816197E-3</v>
      </c>
      <c r="AJ124" s="259" t="s">
        <v>317</v>
      </c>
      <c r="AK124" s="259" t="s">
        <v>318</v>
      </c>
      <c r="AL124" s="309">
        <v>12045.07</v>
      </c>
      <c r="AM124" s="90" t="s">
        <v>897</v>
      </c>
      <c r="AN124" s="252"/>
    </row>
    <row r="125" spans="1:40" s="89" customFormat="1" ht="26.25" customHeight="1" x14ac:dyDescent="0.3">
      <c r="A125" s="94" t="s">
        <v>340</v>
      </c>
      <c r="B125" s="90" t="s">
        <v>65</v>
      </c>
      <c r="C125" s="141" t="s">
        <v>329</v>
      </c>
      <c r="D125" s="90" t="s">
        <v>65</v>
      </c>
      <c r="E125" s="90" t="s">
        <v>142</v>
      </c>
      <c r="F125" s="90">
        <v>47131800</v>
      </c>
      <c r="G125" s="231" t="s">
        <v>344</v>
      </c>
      <c r="H125" s="86">
        <v>2</v>
      </c>
      <c r="I125" s="86">
        <v>3</v>
      </c>
      <c r="J125" s="86">
        <v>9</v>
      </c>
      <c r="K125" s="72">
        <v>1</v>
      </c>
      <c r="L125" s="7" t="s">
        <v>182</v>
      </c>
      <c r="M125" s="86" t="s">
        <v>46</v>
      </c>
      <c r="N125" s="95">
        <f>3000000-121631</f>
        <v>2878369</v>
      </c>
      <c r="O125" s="7">
        <v>0</v>
      </c>
      <c r="P125" s="7">
        <v>0</v>
      </c>
      <c r="Q125" s="90" t="s">
        <v>47</v>
      </c>
      <c r="R125" s="90" t="s">
        <v>48</v>
      </c>
      <c r="S125" s="63" t="s">
        <v>144</v>
      </c>
      <c r="T125" s="88">
        <v>3846666</v>
      </c>
      <c r="U125" s="93" t="s">
        <v>145</v>
      </c>
      <c r="V125" s="90" t="s">
        <v>313</v>
      </c>
      <c r="W125" s="75" t="s">
        <v>155</v>
      </c>
      <c r="X125" s="96" t="s">
        <v>146</v>
      </c>
      <c r="Y125" s="90"/>
      <c r="Z125" s="90"/>
      <c r="AA125" s="236">
        <f>1500000+890469.87</f>
        <v>2390469.87</v>
      </c>
      <c r="AB125" s="8">
        <f t="shared" ref="AB125:AB160" si="28">+N125+Y125+Z125-AA125</f>
        <v>487899.12999999989</v>
      </c>
      <c r="AC125" s="174">
        <v>7621</v>
      </c>
      <c r="AD125" s="175">
        <v>487899.12549000001</v>
      </c>
      <c r="AE125" s="175">
        <f t="shared" si="15"/>
        <v>4.5099998824298382E-3</v>
      </c>
      <c r="AF125" s="264">
        <v>8321</v>
      </c>
      <c r="AG125" s="260">
        <v>44281</v>
      </c>
      <c r="AH125" s="261">
        <v>487899.12549000001</v>
      </c>
      <c r="AI125" s="261">
        <f t="shared" si="16"/>
        <v>4.5099998824298382E-3</v>
      </c>
      <c r="AJ125" s="259" t="s">
        <v>317</v>
      </c>
      <c r="AK125" s="259" t="s">
        <v>318</v>
      </c>
      <c r="AL125" s="306"/>
      <c r="AM125" s="90" t="s">
        <v>897</v>
      </c>
      <c r="AN125" s="252"/>
    </row>
    <row r="126" spans="1:40" s="89" customFormat="1" ht="26.25" customHeight="1" x14ac:dyDescent="0.3">
      <c r="A126" s="94" t="s">
        <v>340</v>
      </c>
      <c r="B126" s="90" t="s">
        <v>65</v>
      </c>
      <c r="C126" s="141" t="s">
        <v>329</v>
      </c>
      <c r="D126" s="90" t="s">
        <v>65</v>
      </c>
      <c r="E126" s="90" t="s">
        <v>142</v>
      </c>
      <c r="F126" s="90">
        <v>47131800</v>
      </c>
      <c r="G126" s="87" t="s">
        <v>344</v>
      </c>
      <c r="H126" s="86">
        <v>2</v>
      </c>
      <c r="I126" s="86">
        <v>3</v>
      </c>
      <c r="J126" s="86">
        <v>9</v>
      </c>
      <c r="K126" s="72">
        <v>1</v>
      </c>
      <c r="L126" s="7" t="s">
        <v>182</v>
      </c>
      <c r="M126" s="86" t="s">
        <v>119</v>
      </c>
      <c r="N126" s="95">
        <v>121631</v>
      </c>
      <c r="O126" s="7">
        <v>0</v>
      </c>
      <c r="P126" s="7">
        <v>0</v>
      </c>
      <c r="Q126" s="90" t="s">
        <v>47</v>
      </c>
      <c r="R126" s="90" t="s">
        <v>48</v>
      </c>
      <c r="S126" s="63" t="s">
        <v>144</v>
      </c>
      <c r="T126" s="88">
        <v>3846666</v>
      </c>
      <c r="U126" s="93" t="s">
        <v>145</v>
      </c>
      <c r="V126" s="90" t="s">
        <v>313</v>
      </c>
      <c r="W126" s="75" t="s">
        <v>155</v>
      </c>
      <c r="X126" s="96" t="s">
        <v>146</v>
      </c>
      <c r="Y126" s="90"/>
      <c r="Z126" s="90"/>
      <c r="AA126" s="236">
        <v>121631</v>
      </c>
      <c r="AB126" s="8">
        <f t="shared" si="28"/>
        <v>0</v>
      </c>
      <c r="AC126" s="232"/>
      <c r="AD126" s="233"/>
      <c r="AE126" s="233">
        <f t="shared" si="15"/>
        <v>0</v>
      </c>
      <c r="AF126" s="232"/>
      <c r="AG126" s="232"/>
      <c r="AH126" s="233"/>
      <c r="AI126" s="233">
        <f t="shared" si="16"/>
        <v>0</v>
      </c>
      <c r="AJ126" s="232"/>
      <c r="AK126" s="232"/>
      <c r="AL126" s="306"/>
      <c r="AM126" s="232" t="s">
        <v>798</v>
      </c>
      <c r="AN126" s="252"/>
    </row>
    <row r="127" spans="1:40" s="89" customFormat="1" ht="26.25" customHeight="1" x14ac:dyDescent="0.3">
      <c r="A127" s="94" t="s">
        <v>345</v>
      </c>
      <c r="B127" s="90" t="s">
        <v>65</v>
      </c>
      <c r="C127" s="141" t="s">
        <v>329</v>
      </c>
      <c r="D127" s="90" t="s">
        <v>65</v>
      </c>
      <c r="E127" s="90" t="s">
        <v>142</v>
      </c>
      <c r="F127" s="90" t="s">
        <v>346</v>
      </c>
      <c r="G127" s="231" t="s">
        <v>347</v>
      </c>
      <c r="H127" s="86">
        <v>2</v>
      </c>
      <c r="I127" s="86">
        <v>3</v>
      </c>
      <c r="J127" s="86">
        <v>9</v>
      </c>
      <c r="K127" s="72">
        <v>1</v>
      </c>
      <c r="L127" s="7" t="s">
        <v>182</v>
      </c>
      <c r="M127" s="86" t="s">
        <v>119</v>
      </c>
      <c r="N127" s="95">
        <v>800000</v>
      </c>
      <c r="O127" s="7">
        <v>0</v>
      </c>
      <c r="P127" s="7">
        <v>0</v>
      </c>
      <c r="Q127" s="90" t="s">
        <v>47</v>
      </c>
      <c r="R127" s="90" t="s">
        <v>48</v>
      </c>
      <c r="S127" s="63" t="s">
        <v>144</v>
      </c>
      <c r="T127" s="88">
        <v>3846666</v>
      </c>
      <c r="U127" s="93" t="s">
        <v>145</v>
      </c>
      <c r="V127" s="90" t="s">
        <v>313</v>
      </c>
      <c r="W127" s="75" t="s">
        <v>155</v>
      </c>
      <c r="X127" s="96" t="s">
        <v>146</v>
      </c>
      <c r="Y127" s="90"/>
      <c r="Z127" s="90"/>
      <c r="AA127" s="301">
        <f>250000+259795.64</f>
        <v>509795.64</v>
      </c>
      <c r="AB127" s="8">
        <f t="shared" si="28"/>
        <v>290204.36</v>
      </c>
      <c r="AC127" s="174">
        <v>7621</v>
      </c>
      <c r="AD127" s="175">
        <v>290204.36297999998</v>
      </c>
      <c r="AE127" s="181">
        <f t="shared" si="15"/>
        <v>-2.9799999902024865E-3</v>
      </c>
      <c r="AF127" s="264">
        <v>8321</v>
      </c>
      <c r="AG127" s="260">
        <v>44281</v>
      </c>
      <c r="AH127" s="261">
        <v>290204.36297999998</v>
      </c>
      <c r="AI127" s="261">
        <f t="shared" si="16"/>
        <v>-2.9799999902024865E-3</v>
      </c>
      <c r="AJ127" s="259" t="s">
        <v>317</v>
      </c>
      <c r="AK127" s="259" t="s">
        <v>318</v>
      </c>
      <c r="AL127" s="309">
        <f>46947.09+45413.47</f>
        <v>92360.56</v>
      </c>
      <c r="AM127" s="90" t="s">
        <v>897</v>
      </c>
      <c r="AN127" s="252"/>
    </row>
    <row r="128" spans="1:40" s="89" customFormat="1" ht="26.25" customHeight="1" x14ac:dyDescent="0.3">
      <c r="A128" s="94" t="s">
        <v>348</v>
      </c>
      <c r="B128" s="90" t="s">
        <v>65</v>
      </c>
      <c r="C128" s="141" t="s">
        <v>329</v>
      </c>
      <c r="D128" s="90" t="s">
        <v>65</v>
      </c>
      <c r="E128" s="90" t="s">
        <v>142</v>
      </c>
      <c r="F128" s="90" t="s">
        <v>349</v>
      </c>
      <c r="G128" s="87" t="s">
        <v>350</v>
      </c>
      <c r="H128" s="86">
        <v>6</v>
      </c>
      <c r="I128" s="86">
        <v>6</v>
      </c>
      <c r="J128" s="86">
        <v>1</v>
      </c>
      <c r="K128" s="72">
        <v>1</v>
      </c>
      <c r="L128" s="7" t="s">
        <v>182</v>
      </c>
      <c r="M128" s="86" t="s">
        <v>46</v>
      </c>
      <c r="N128" s="117">
        <f>2000000-500000</f>
        <v>1500000</v>
      </c>
      <c r="O128" s="7">
        <v>0</v>
      </c>
      <c r="P128" s="7">
        <v>0</v>
      </c>
      <c r="Q128" s="90" t="s">
        <v>47</v>
      </c>
      <c r="R128" s="90" t="s">
        <v>48</v>
      </c>
      <c r="S128" s="63" t="s">
        <v>144</v>
      </c>
      <c r="T128" s="88">
        <v>3846666</v>
      </c>
      <c r="U128" s="93" t="s">
        <v>145</v>
      </c>
      <c r="V128" s="90" t="s">
        <v>313</v>
      </c>
      <c r="W128" s="75" t="s">
        <v>155</v>
      </c>
      <c r="X128" s="96" t="s">
        <v>146</v>
      </c>
      <c r="Y128" s="90"/>
      <c r="Z128" s="90"/>
      <c r="AA128" s="236">
        <v>162233</v>
      </c>
      <c r="AB128" s="8">
        <f t="shared" si="28"/>
        <v>1337767</v>
      </c>
      <c r="AC128" s="174">
        <v>15021</v>
      </c>
      <c r="AD128" s="175">
        <v>1337767</v>
      </c>
      <c r="AE128" s="181">
        <f t="shared" si="15"/>
        <v>0</v>
      </c>
      <c r="AF128" s="277">
        <v>15721</v>
      </c>
      <c r="AG128" s="260">
        <v>44410</v>
      </c>
      <c r="AH128" s="261">
        <v>1337767</v>
      </c>
      <c r="AI128" s="261">
        <f t="shared" si="16"/>
        <v>0</v>
      </c>
      <c r="AJ128" s="259" t="s">
        <v>836</v>
      </c>
      <c r="AK128" s="259" t="s">
        <v>815</v>
      </c>
      <c r="AL128" s="309">
        <v>1337767</v>
      </c>
      <c r="AM128" s="90" t="s">
        <v>798</v>
      </c>
      <c r="AN128" s="252"/>
    </row>
    <row r="129" spans="1:40" s="89" customFormat="1" ht="26.25" customHeight="1" x14ac:dyDescent="0.3">
      <c r="A129" s="97" t="s">
        <v>351</v>
      </c>
      <c r="B129" s="90" t="s">
        <v>65</v>
      </c>
      <c r="C129" s="90" t="s">
        <v>352</v>
      </c>
      <c r="D129" s="90" t="s">
        <v>65</v>
      </c>
      <c r="E129" s="90" t="s">
        <v>142</v>
      </c>
      <c r="F129" s="98">
        <v>43233200</v>
      </c>
      <c r="G129" s="98" t="s">
        <v>353</v>
      </c>
      <c r="H129" s="88">
        <v>10</v>
      </c>
      <c r="I129" s="88">
        <v>10</v>
      </c>
      <c r="J129" s="88">
        <v>1</v>
      </c>
      <c r="K129" s="72">
        <v>1</v>
      </c>
      <c r="L129" s="7" t="s">
        <v>182</v>
      </c>
      <c r="M129" s="88" t="s">
        <v>46</v>
      </c>
      <c r="N129" s="95">
        <v>3000000</v>
      </c>
      <c r="O129" s="7">
        <v>0</v>
      </c>
      <c r="P129" s="7">
        <v>0</v>
      </c>
      <c r="Q129" s="90" t="s">
        <v>47</v>
      </c>
      <c r="R129" s="90" t="s">
        <v>48</v>
      </c>
      <c r="S129" s="99" t="s">
        <v>144</v>
      </c>
      <c r="T129" s="72">
        <v>3846666</v>
      </c>
      <c r="U129" s="100" t="s">
        <v>145</v>
      </c>
      <c r="V129" s="90" t="s">
        <v>313</v>
      </c>
      <c r="W129" s="88" t="s">
        <v>155</v>
      </c>
      <c r="X129" s="75" t="s">
        <v>146</v>
      </c>
      <c r="Y129" s="90"/>
      <c r="Z129" s="90"/>
      <c r="AA129" s="236">
        <v>5448</v>
      </c>
      <c r="AB129" s="8">
        <f t="shared" si="28"/>
        <v>2994552</v>
      </c>
      <c r="AC129" s="174">
        <v>16721</v>
      </c>
      <c r="AD129" s="175">
        <f>2994552-2187018</f>
        <v>807534</v>
      </c>
      <c r="AE129" s="181">
        <f t="shared" si="15"/>
        <v>2187018</v>
      </c>
      <c r="AF129" s="259">
        <v>21421</v>
      </c>
      <c r="AG129" s="260">
        <v>44468</v>
      </c>
      <c r="AH129" s="261">
        <v>807534</v>
      </c>
      <c r="AI129" s="261">
        <f t="shared" si="16"/>
        <v>2187018</v>
      </c>
      <c r="AJ129" s="261" t="s">
        <v>916</v>
      </c>
      <c r="AK129" s="261" t="s">
        <v>915</v>
      </c>
      <c r="AL129" s="309">
        <v>807534</v>
      </c>
      <c r="AM129" s="232" t="s">
        <v>798</v>
      </c>
      <c r="AN129" s="252"/>
    </row>
    <row r="130" spans="1:40" s="89" customFormat="1" ht="26.25" customHeight="1" x14ac:dyDescent="0.3">
      <c r="A130" s="243" t="s">
        <v>354</v>
      </c>
      <c r="B130" s="90" t="s">
        <v>65</v>
      </c>
      <c r="C130" s="244" t="s">
        <v>355</v>
      </c>
      <c r="D130" s="90" t="s">
        <v>65</v>
      </c>
      <c r="E130" s="90" t="s">
        <v>142</v>
      </c>
      <c r="F130" s="90">
        <v>72103300</v>
      </c>
      <c r="G130" s="123" t="s">
        <v>356</v>
      </c>
      <c r="H130" s="88">
        <v>3</v>
      </c>
      <c r="I130" s="88">
        <v>5</v>
      </c>
      <c r="J130" s="88">
        <v>3</v>
      </c>
      <c r="K130" s="72">
        <v>1</v>
      </c>
      <c r="L130" s="90" t="s">
        <v>154</v>
      </c>
      <c r="M130" s="245" t="s">
        <v>119</v>
      </c>
      <c r="N130" s="95">
        <v>0</v>
      </c>
      <c r="O130" s="7">
        <v>0</v>
      </c>
      <c r="P130" s="7">
        <v>0</v>
      </c>
      <c r="Q130" s="90" t="s">
        <v>47</v>
      </c>
      <c r="R130" s="90" t="s">
        <v>48</v>
      </c>
      <c r="S130" s="87" t="s">
        <v>144</v>
      </c>
      <c r="T130" s="88">
        <v>3846666</v>
      </c>
      <c r="U130" s="93" t="s">
        <v>145</v>
      </c>
      <c r="V130" s="90" t="s">
        <v>313</v>
      </c>
      <c r="W130" s="75" t="s">
        <v>357</v>
      </c>
      <c r="X130" s="98" t="s">
        <v>146</v>
      </c>
      <c r="Y130" s="173">
        <f>17645867+23509.67+481488.84+1523964.68+600000+9895+300000+500000+250000+9000000+155820+1424558.66</f>
        <v>31915103.850000001</v>
      </c>
      <c r="Z130" s="288">
        <f>379030+623580.92+311443+210678.95+211842.69+121631+259795.64+2772713.81+270132+4259144+2653368+1928100.12</f>
        <v>14001460.129999999</v>
      </c>
      <c r="AA130" s="300">
        <v>1935926</v>
      </c>
      <c r="AB130" s="8">
        <f t="shared" si="28"/>
        <v>43980637.980000004</v>
      </c>
      <c r="AC130" s="174" t="s">
        <v>908</v>
      </c>
      <c r="AD130" s="175">
        <f>20027418-994306+19597840.13-0.3-0.57</f>
        <v>38630951.259999998</v>
      </c>
      <c r="AE130" s="181">
        <f t="shared" si="15"/>
        <v>5349686.7200000063</v>
      </c>
      <c r="AF130" s="259" t="s">
        <v>909</v>
      </c>
      <c r="AG130" s="260" t="s">
        <v>910</v>
      </c>
      <c r="AH130" s="261">
        <f>20027418-994306+19597840.13-0.3-0.57</f>
        <v>38630951.259999998</v>
      </c>
      <c r="AI130" s="261">
        <f t="shared" si="16"/>
        <v>5349686.7200000063</v>
      </c>
      <c r="AJ130" s="259" t="s">
        <v>829</v>
      </c>
      <c r="AK130" s="259" t="s">
        <v>830</v>
      </c>
      <c r="AL130" s="309">
        <f>16385010.89+19597839.56+2648100.81</f>
        <v>38630951.260000005</v>
      </c>
      <c r="AM130" s="90" t="s">
        <v>970</v>
      </c>
      <c r="AN130" s="252"/>
    </row>
    <row r="131" spans="1:40" s="89" customFormat="1" ht="26.25" customHeight="1" x14ac:dyDescent="0.3">
      <c r="A131" s="94" t="s">
        <v>354</v>
      </c>
      <c r="B131" s="90" t="s">
        <v>65</v>
      </c>
      <c r="C131" s="137" t="s">
        <v>355</v>
      </c>
      <c r="D131" s="90" t="s">
        <v>65</v>
      </c>
      <c r="E131" s="90" t="s">
        <v>142</v>
      </c>
      <c r="F131" s="90">
        <v>72103300</v>
      </c>
      <c r="G131" s="87" t="s">
        <v>356</v>
      </c>
      <c r="H131" s="88">
        <v>3</v>
      </c>
      <c r="I131" s="88">
        <v>5</v>
      </c>
      <c r="J131" s="88">
        <v>3</v>
      </c>
      <c r="K131" s="72">
        <v>1</v>
      </c>
      <c r="L131" s="90" t="s">
        <v>154</v>
      </c>
      <c r="M131" s="88" t="s">
        <v>46</v>
      </c>
      <c r="N131" s="95">
        <v>60000000</v>
      </c>
      <c r="O131" s="7">
        <v>0</v>
      </c>
      <c r="P131" s="7">
        <v>0</v>
      </c>
      <c r="Q131" s="90" t="s">
        <v>47</v>
      </c>
      <c r="R131" s="90" t="s">
        <v>48</v>
      </c>
      <c r="S131" s="87" t="s">
        <v>144</v>
      </c>
      <c r="T131" s="88">
        <v>3846666</v>
      </c>
      <c r="U131" s="93" t="s">
        <v>145</v>
      </c>
      <c r="V131" s="90" t="s">
        <v>313</v>
      </c>
      <c r="W131" s="75" t="s">
        <v>357</v>
      </c>
      <c r="X131" s="98" t="s">
        <v>146</v>
      </c>
      <c r="Y131" s="90"/>
      <c r="Z131" s="235">
        <f>2889897+350000+580199+890469.87+162233+5448+1277500+245000+487690</f>
        <v>6888436.8700000001</v>
      </c>
      <c r="AA131" s="236"/>
      <c r="AB131" s="8">
        <f t="shared" si="28"/>
        <v>66888436.869999997</v>
      </c>
      <c r="AC131" s="174" t="s">
        <v>908</v>
      </c>
      <c r="AD131" s="175">
        <f>62889897+3998539.87</f>
        <v>66888436.869999997</v>
      </c>
      <c r="AE131" s="175">
        <f t="shared" si="15"/>
        <v>0</v>
      </c>
      <c r="AF131" s="259" t="s">
        <v>909</v>
      </c>
      <c r="AG131" s="260" t="s">
        <v>910</v>
      </c>
      <c r="AH131" s="261">
        <f>62889897+3998539.87</f>
        <v>66888436.869999997</v>
      </c>
      <c r="AI131" s="261">
        <f>+AB131-AH131</f>
        <v>0</v>
      </c>
      <c r="AJ131" s="259" t="s">
        <v>829</v>
      </c>
      <c r="AK131" s="259" t="s">
        <v>830</v>
      </c>
      <c r="AL131" s="309">
        <f>40961093.81+21928803.19+3998539.87</f>
        <v>66888436.869999997</v>
      </c>
      <c r="AM131" s="90" t="s">
        <v>897</v>
      </c>
      <c r="AN131" s="252"/>
    </row>
    <row r="132" spans="1:40" s="89" customFormat="1" ht="26.25" customHeight="1" x14ac:dyDescent="0.3">
      <c r="A132" s="94" t="s">
        <v>358</v>
      </c>
      <c r="B132" s="90" t="s">
        <v>65</v>
      </c>
      <c r="C132" s="135" t="s">
        <v>359</v>
      </c>
      <c r="D132" s="90" t="s">
        <v>65</v>
      </c>
      <c r="E132" s="90" t="s">
        <v>142</v>
      </c>
      <c r="F132" s="90" t="s">
        <v>65</v>
      </c>
      <c r="G132" s="87" t="s">
        <v>360</v>
      </c>
      <c r="H132" s="88" t="s">
        <v>65</v>
      </c>
      <c r="I132" s="88" t="s">
        <v>65</v>
      </c>
      <c r="J132" s="88" t="s">
        <v>65</v>
      </c>
      <c r="K132" s="88" t="s">
        <v>65</v>
      </c>
      <c r="L132" s="90" t="s">
        <v>67</v>
      </c>
      <c r="M132" s="88" t="s">
        <v>46</v>
      </c>
      <c r="N132" s="95">
        <f>220000*11</f>
        <v>2420000</v>
      </c>
      <c r="O132" s="7">
        <v>0</v>
      </c>
      <c r="P132" s="7">
        <v>0</v>
      </c>
      <c r="Q132" s="90" t="s">
        <v>47</v>
      </c>
      <c r="R132" s="90" t="s">
        <v>48</v>
      </c>
      <c r="S132" s="87" t="s">
        <v>144</v>
      </c>
      <c r="T132" s="88">
        <v>3846666</v>
      </c>
      <c r="U132" s="93" t="s">
        <v>145</v>
      </c>
      <c r="V132" s="90" t="s">
        <v>313</v>
      </c>
      <c r="W132" s="75" t="s">
        <v>322</v>
      </c>
      <c r="X132" s="98" t="s">
        <v>146</v>
      </c>
      <c r="Y132" s="90"/>
      <c r="Z132" s="90"/>
      <c r="AA132" s="236">
        <v>1277500</v>
      </c>
      <c r="AB132" s="8">
        <f t="shared" si="28"/>
        <v>1142500</v>
      </c>
      <c r="AC132" s="174" t="s">
        <v>979</v>
      </c>
      <c r="AD132" s="175">
        <f>220000+120000+80000+22500+40000+40000+40000-40000+40000-147200</f>
        <v>415300</v>
      </c>
      <c r="AE132" s="175">
        <f t="shared" si="15"/>
        <v>727200</v>
      </c>
      <c r="AF132" s="259" t="s">
        <v>983</v>
      </c>
      <c r="AG132" s="260" t="s">
        <v>985</v>
      </c>
      <c r="AH132" s="261">
        <f>220000+120000+80000+22500+40000+40000+40000-40000+40000-147200</f>
        <v>415300</v>
      </c>
      <c r="AI132" s="261">
        <f t="shared" si="16"/>
        <v>727200</v>
      </c>
      <c r="AJ132" s="259" t="s">
        <v>987</v>
      </c>
      <c r="AK132" s="259" t="s">
        <v>322</v>
      </c>
      <c r="AL132" s="309">
        <f>220000+120000+80000+22500+40000+40000+40000-40000+40000-147200</f>
        <v>415300</v>
      </c>
      <c r="AM132" s="90" t="s">
        <v>798</v>
      </c>
      <c r="AN132" s="252"/>
    </row>
    <row r="133" spans="1:40" s="89" customFormat="1" ht="26.25" customHeight="1" x14ac:dyDescent="0.3">
      <c r="A133" s="94" t="s">
        <v>361</v>
      </c>
      <c r="B133" s="90" t="s">
        <v>65</v>
      </c>
      <c r="C133" s="135" t="s">
        <v>359</v>
      </c>
      <c r="D133" s="90" t="s">
        <v>65</v>
      </c>
      <c r="E133" s="90" t="s">
        <v>142</v>
      </c>
      <c r="F133" s="90" t="s">
        <v>65</v>
      </c>
      <c r="G133" s="87" t="s">
        <v>362</v>
      </c>
      <c r="H133" s="88" t="s">
        <v>65</v>
      </c>
      <c r="I133" s="88" t="s">
        <v>65</v>
      </c>
      <c r="J133" s="88" t="s">
        <v>65</v>
      </c>
      <c r="K133" s="88" t="s">
        <v>65</v>
      </c>
      <c r="L133" s="90" t="s">
        <v>67</v>
      </c>
      <c r="M133" s="88" t="s">
        <v>119</v>
      </c>
      <c r="N133" s="117">
        <f>47000000-10000000</f>
        <v>37000000</v>
      </c>
      <c r="O133" s="7">
        <v>0</v>
      </c>
      <c r="P133" s="7">
        <v>0</v>
      </c>
      <c r="Q133" s="90" t="s">
        <v>47</v>
      </c>
      <c r="R133" s="90" t="s">
        <v>48</v>
      </c>
      <c r="S133" s="87" t="s">
        <v>144</v>
      </c>
      <c r="T133" s="88">
        <v>3846666</v>
      </c>
      <c r="U133" s="93" t="s">
        <v>145</v>
      </c>
      <c r="V133" s="90" t="s">
        <v>313</v>
      </c>
      <c r="W133" s="75" t="s">
        <v>85</v>
      </c>
      <c r="X133" s="98" t="s">
        <v>146</v>
      </c>
      <c r="Y133" s="90"/>
      <c r="Z133" s="90"/>
      <c r="AA133" s="236">
        <v>300000</v>
      </c>
      <c r="AB133" s="8">
        <f t="shared" si="28"/>
        <v>36700000</v>
      </c>
      <c r="AC133" s="174" t="s">
        <v>1016</v>
      </c>
      <c r="AD133" s="175">
        <f>1419440+2279590+2451973+2246650+2045600+2631570+2533270+2636090+2765970+2652080+3389396+3450000</f>
        <v>30501629</v>
      </c>
      <c r="AE133" s="175">
        <f t="shared" si="15"/>
        <v>6198371</v>
      </c>
      <c r="AF133" s="259" t="s">
        <v>1025</v>
      </c>
      <c r="AG133" s="260" t="s">
        <v>1026</v>
      </c>
      <c r="AH133" s="261">
        <f>1419440+2279590+2451973+2246650+2045600+2631570+2533270+2636090+2765970+2652080+3389396+3450000</f>
        <v>30501629</v>
      </c>
      <c r="AI133" s="261">
        <f t="shared" si="16"/>
        <v>6198371</v>
      </c>
      <c r="AJ133" s="259" t="s">
        <v>363</v>
      </c>
      <c r="AK133" s="259" t="s">
        <v>364</v>
      </c>
      <c r="AL133" s="309">
        <f>1419440+2279590+2451973+2246650+2045600+2631570+2533270+2636090+2765970+2652080+3389396+3450000</f>
        <v>30501629</v>
      </c>
      <c r="AM133" s="90" t="s">
        <v>798</v>
      </c>
      <c r="AN133" s="252"/>
    </row>
    <row r="134" spans="1:40" s="89" customFormat="1" ht="26.25" customHeight="1" x14ac:dyDescent="0.3">
      <c r="A134" s="94" t="s">
        <v>361</v>
      </c>
      <c r="B134" s="90" t="s">
        <v>65</v>
      </c>
      <c r="C134" s="135" t="s">
        <v>359</v>
      </c>
      <c r="D134" s="90" t="s">
        <v>65</v>
      </c>
      <c r="E134" s="90" t="s">
        <v>142</v>
      </c>
      <c r="F134" s="90" t="s">
        <v>65</v>
      </c>
      <c r="G134" s="87" t="s">
        <v>365</v>
      </c>
      <c r="H134" s="88" t="s">
        <v>65</v>
      </c>
      <c r="I134" s="88" t="s">
        <v>65</v>
      </c>
      <c r="J134" s="88" t="s">
        <v>65</v>
      </c>
      <c r="K134" s="88" t="s">
        <v>65</v>
      </c>
      <c r="L134" s="90" t="s">
        <v>67</v>
      </c>
      <c r="M134" s="88" t="s">
        <v>119</v>
      </c>
      <c r="N134" s="117">
        <f>6000000-2000000</f>
        <v>4000000</v>
      </c>
      <c r="O134" s="7">
        <v>0</v>
      </c>
      <c r="P134" s="7">
        <v>0</v>
      </c>
      <c r="Q134" s="90" t="s">
        <v>47</v>
      </c>
      <c r="R134" s="90" t="s">
        <v>48</v>
      </c>
      <c r="S134" s="87" t="s">
        <v>144</v>
      </c>
      <c r="T134" s="88">
        <v>3846666</v>
      </c>
      <c r="U134" s="93" t="s">
        <v>145</v>
      </c>
      <c r="V134" s="90" t="s">
        <v>313</v>
      </c>
      <c r="W134" s="75" t="s">
        <v>85</v>
      </c>
      <c r="X134" s="98" t="s">
        <v>146</v>
      </c>
      <c r="Y134" s="90"/>
      <c r="Z134" s="90"/>
      <c r="AA134" s="236"/>
      <c r="AB134" s="8">
        <f t="shared" si="28"/>
        <v>4000000</v>
      </c>
      <c r="AC134" s="174" t="s">
        <v>1003</v>
      </c>
      <c r="AD134" s="175">
        <f>275960+88296+106156+102350+435835+446278</f>
        <v>1454875</v>
      </c>
      <c r="AE134" s="175">
        <f t="shared" si="15"/>
        <v>2545125</v>
      </c>
      <c r="AF134" s="259" t="s">
        <v>1005</v>
      </c>
      <c r="AG134" s="260" t="s">
        <v>1006</v>
      </c>
      <c r="AH134" s="261">
        <f>275960+88296+106156+102350+435835+446278</f>
        <v>1454875</v>
      </c>
      <c r="AI134" s="261">
        <f t="shared" si="16"/>
        <v>2545125</v>
      </c>
      <c r="AJ134" s="259" t="s">
        <v>363</v>
      </c>
      <c r="AK134" s="259" t="s">
        <v>366</v>
      </c>
      <c r="AL134" s="309">
        <f>275960+88296+106156+102350+435835+446278</f>
        <v>1454875</v>
      </c>
      <c r="AM134" s="90"/>
      <c r="AN134" s="252"/>
    </row>
    <row r="135" spans="1:40" s="89" customFormat="1" ht="26.25" customHeight="1" x14ac:dyDescent="0.3">
      <c r="A135" s="94" t="s">
        <v>367</v>
      </c>
      <c r="B135" s="90" t="s">
        <v>65</v>
      </c>
      <c r="C135" s="136" t="s">
        <v>368</v>
      </c>
      <c r="D135" s="90" t="s">
        <v>65</v>
      </c>
      <c r="E135" s="90" t="s">
        <v>142</v>
      </c>
      <c r="F135" s="90">
        <v>84131501</v>
      </c>
      <c r="G135" s="87" t="s">
        <v>369</v>
      </c>
      <c r="H135" s="88">
        <v>3</v>
      </c>
      <c r="I135" s="88">
        <v>5</v>
      </c>
      <c r="J135" s="88">
        <v>6</v>
      </c>
      <c r="K135" s="72">
        <v>1</v>
      </c>
      <c r="L135" s="90" t="s">
        <v>154</v>
      </c>
      <c r="M135" s="88" t="s">
        <v>119</v>
      </c>
      <c r="N135" s="95">
        <v>37694322</v>
      </c>
      <c r="O135" s="7">
        <v>0</v>
      </c>
      <c r="P135" s="7">
        <v>0</v>
      </c>
      <c r="Q135" s="90" t="s">
        <v>47</v>
      </c>
      <c r="R135" s="90" t="s">
        <v>48</v>
      </c>
      <c r="S135" s="87" t="s">
        <v>144</v>
      </c>
      <c r="T135" s="88">
        <v>3846666</v>
      </c>
      <c r="U135" s="93" t="s">
        <v>145</v>
      </c>
      <c r="V135" s="90" t="s">
        <v>313</v>
      </c>
      <c r="W135" s="75" t="s">
        <v>85</v>
      </c>
      <c r="X135" s="98" t="s">
        <v>146</v>
      </c>
      <c r="Y135" s="90"/>
      <c r="Z135" s="90"/>
      <c r="AA135" s="236">
        <f>9000000+2772713.81</f>
        <v>11772713.810000001</v>
      </c>
      <c r="AB135" s="8">
        <f t="shared" si="28"/>
        <v>25921608.189999998</v>
      </c>
      <c r="AC135" s="174" t="s">
        <v>972</v>
      </c>
      <c r="AD135" s="175">
        <f>6579674+13205448+3375420+270000-956621+656365+2000000</f>
        <v>25130286</v>
      </c>
      <c r="AE135" s="181">
        <f t="shared" si="15"/>
        <v>791322.18999999762</v>
      </c>
      <c r="AF135" s="259" t="s">
        <v>980</v>
      </c>
      <c r="AG135" s="260" t="s">
        <v>981</v>
      </c>
      <c r="AH135" s="261">
        <f>6579674+15894247+2000000+656365</f>
        <v>25130286</v>
      </c>
      <c r="AI135" s="261">
        <f t="shared" si="16"/>
        <v>791322.18999999762</v>
      </c>
      <c r="AJ135" s="259" t="s">
        <v>894</v>
      </c>
      <c r="AK135" s="259" t="s">
        <v>893</v>
      </c>
      <c r="AL135" s="309">
        <f>6579674+15730277.11+820334.89+164215.91</f>
        <v>23294501.91</v>
      </c>
      <c r="AM135" s="90" t="s">
        <v>897</v>
      </c>
      <c r="AN135" s="252"/>
    </row>
    <row r="136" spans="1:40" s="89" customFormat="1" ht="26.25" customHeight="1" x14ac:dyDescent="0.3">
      <c r="A136" s="94" t="s">
        <v>367</v>
      </c>
      <c r="B136" s="90" t="s">
        <v>65</v>
      </c>
      <c r="C136" s="136" t="s">
        <v>368</v>
      </c>
      <c r="D136" s="90" t="s">
        <v>65</v>
      </c>
      <c r="E136" s="90" t="s">
        <v>142</v>
      </c>
      <c r="F136" s="90">
        <v>84131501</v>
      </c>
      <c r="G136" s="87" t="s">
        <v>370</v>
      </c>
      <c r="H136" s="88">
        <v>1</v>
      </c>
      <c r="I136" s="88">
        <v>6</v>
      </c>
      <c r="J136" s="88">
        <v>6</v>
      </c>
      <c r="K136" s="72">
        <v>1</v>
      </c>
      <c r="L136" s="90" t="s">
        <v>154</v>
      </c>
      <c r="M136" s="88" t="s">
        <v>46</v>
      </c>
      <c r="N136" s="95">
        <v>21305678</v>
      </c>
      <c r="O136" s="90">
        <v>1</v>
      </c>
      <c r="P136" s="90">
        <v>3</v>
      </c>
      <c r="Q136" s="90" t="s">
        <v>47</v>
      </c>
      <c r="R136" s="90" t="s">
        <v>48</v>
      </c>
      <c r="S136" s="87" t="s">
        <v>144</v>
      </c>
      <c r="T136" s="88">
        <v>3846666</v>
      </c>
      <c r="U136" s="93" t="s">
        <v>145</v>
      </c>
      <c r="V136" s="90" t="s">
        <v>313</v>
      </c>
      <c r="W136" s="75" t="s">
        <v>85</v>
      </c>
      <c r="X136" s="98" t="s">
        <v>146</v>
      </c>
      <c r="Y136" s="90"/>
      <c r="Z136" s="90"/>
      <c r="AA136" s="236"/>
      <c r="AB136" s="8">
        <f t="shared" si="28"/>
        <v>21305678</v>
      </c>
      <c r="AC136" s="174" t="s">
        <v>371</v>
      </c>
      <c r="AD136" s="175">
        <f>17402790+3902888-355734.01</f>
        <v>20949943.989999998</v>
      </c>
      <c r="AE136" s="175">
        <f t="shared" si="15"/>
        <v>355734.01000000164</v>
      </c>
      <c r="AF136" s="259" t="s">
        <v>372</v>
      </c>
      <c r="AG136" s="260" t="s">
        <v>373</v>
      </c>
      <c r="AH136" s="261">
        <f>17402790+3902888-355734.01</f>
        <v>20949943.989999998</v>
      </c>
      <c r="AI136" s="261">
        <f t="shared" si="16"/>
        <v>355734.01000000164</v>
      </c>
      <c r="AJ136" s="259" t="s">
        <v>374</v>
      </c>
      <c r="AK136" s="259" t="s">
        <v>375</v>
      </c>
      <c r="AL136" s="309">
        <f>16802789.99+3902888+244266</f>
        <v>20949943.989999998</v>
      </c>
      <c r="AM136" s="90"/>
      <c r="AN136" s="252"/>
    </row>
    <row r="137" spans="1:40" s="89" customFormat="1" ht="26.25" customHeight="1" x14ac:dyDescent="0.3">
      <c r="A137" s="94" t="s">
        <v>376</v>
      </c>
      <c r="B137" s="90" t="s">
        <v>65</v>
      </c>
      <c r="C137" s="138" t="s">
        <v>377</v>
      </c>
      <c r="D137" s="90" t="s">
        <v>65</v>
      </c>
      <c r="E137" s="90" t="s">
        <v>142</v>
      </c>
      <c r="F137" s="90" t="s">
        <v>65</v>
      </c>
      <c r="G137" s="87" t="s">
        <v>378</v>
      </c>
      <c r="H137" s="88" t="s">
        <v>65</v>
      </c>
      <c r="I137" s="88" t="s">
        <v>65</v>
      </c>
      <c r="J137" s="88" t="s">
        <v>65</v>
      </c>
      <c r="K137" s="88" t="s">
        <v>65</v>
      </c>
      <c r="L137" s="90" t="s">
        <v>67</v>
      </c>
      <c r="M137" s="88" t="s">
        <v>46</v>
      </c>
      <c r="N137" s="95">
        <f>35000*11</f>
        <v>385000</v>
      </c>
      <c r="O137" s="7">
        <v>0</v>
      </c>
      <c r="P137" s="7">
        <v>0</v>
      </c>
      <c r="Q137" s="90" t="s">
        <v>47</v>
      </c>
      <c r="R137" s="90" t="s">
        <v>48</v>
      </c>
      <c r="S137" s="87" t="s">
        <v>144</v>
      </c>
      <c r="T137" s="88">
        <v>3846666</v>
      </c>
      <c r="U137" s="93" t="s">
        <v>145</v>
      </c>
      <c r="V137" s="90" t="s">
        <v>313</v>
      </c>
      <c r="W137" s="75" t="s">
        <v>322</v>
      </c>
      <c r="X137" s="98" t="s">
        <v>146</v>
      </c>
      <c r="Y137" s="90"/>
      <c r="Z137" s="90"/>
      <c r="AA137" s="236">
        <v>245000</v>
      </c>
      <c r="AB137" s="8">
        <f t="shared" si="28"/>
        <v>140000</v>
      </c>
      <c r="AC137" s="174">
        <v>5421</v>
      </c>
      <c r="AD137" s="175">
        <f>35000-35000</f>
        <v>0</v>
      </c>
      <c r="AE137" s="175">
        <f t="shared" si="15"/>
        <v>140000</v>
      </c>
      <c r="AF137" s="259">
        <v>5621</v>
      </c>
      <c r="AG137" s="260">
        <v>44243</v>
      </c>
      <c r="AH137" s="261">
        <f>35000-35000</f>
        <v>0</v>
      </c>
      <c r="AI137" s="261">
        <f t="shared" si="16"/>
        <v>140000</v>
      </c>
      <c r="AJ137" s="259" t="s">
        <v>323</v>
      </c>
      <c r="AK137" s="259" t="s">
        <v>322</v>
      </c>
      <c r="AL137" s="309">
        <f>35000-35000</f>
        <v>0</v>
      </c>
      <c r="AM137" s="90" t="s">
        <v>798</v>
      </c>
      <c r="AN137" s="252"/>
    </row>
    <row r="138" spans="1:40" s="89" customFormat="1" ht="26.25" customHeight="1" x14ac:dyDescent="0.3">
      <c r="A138" s="94" t="s">
        <v>379</v>
      </c>
      <c r="B138" s="90" t="s">
        <v>65</v>
      </c>
      <c r="C138" s="138" t="s">
        <v>377</v>
      </c>
      <c r="D138" s="90" t="s">
        <v>65</v>
      </c>
      <c r="E138" s="90" t="s">
        <v>142</v>
      </c>
      <c r="F138" s="90">
        <v>80111600</v>
      </c>
      <c r="G138" s="87" t="s">
        <v>380</v>
      </c>
      <c r="H138" s="88">
        <v>1</v>
      </c>
      <c r="I138" s="88">
        <v>1</v>
      </c>
      <c r="J138" s="88">
        <v>11</v>
      </c>
      <c r="K138" s="72">
        <v>1</v>
      </c>
      <c r="L138" s="90" t="s">
        <v>45</v>
      </c>
      <c r="M138" s="88" t="s">
        <v>46</v>
      </c>
      <c r="N138" s="95">
        <f>2731582*11</f>
        <v>30047402</v>
      </c>
      <c r="O138" s="7">
        <v>0</v>
      </c>
      <c r="P138" s="7">
        <v>0</v>
      </c>
      <c r="Q138" s="90" t="s">
        <v>47</v>
      </c>
      <c r="R138" s="90" t="s">
        <v>48</v>
      </c>
      <c r="S138" s="87" t="s">
        <v>144</v>
      </c>
      <c r="T138" s="88">
        <v>3846666</v>
      </c>
      <c r="U138" s="93" t="s">
        <v>145</v>
      </c>
      <c r="V138" s="90" t="s">
        <v>313</v>
      </c>
      <c r="W138" s="75" t="s">
        <v>73</v>
      </c>
      <c r="X138" s="98" t="s">
        <v>146</v>
      </c>
      <c r="Y138" s="90"/>
      <c r="Z138" s="90"/>
      <c r="AA138" s="236">
        <v>73033</v>
      </c>
      <c r="AB138" s="8">
        <f t="shared" si="28"/>
        <v>29974369</v>
      </c>
      <c r="AC138" s="174">
        <v>1521</v>
      </c>
      <c r="AD138" s="175">
        <v>29974369</v>
      </c>
      <c r="AE138" s="175">
        <f t="shared" si="15"/>
        <v>0</v>
      </c>
      <c r="AF138" s="259">
        <v>1521</v>
      </c>
      <c r="AG138" s="260">
        <v>44218</v>
      </c>
      <c r="AH138" s="261">
        <v>29974369</v>
      </c>
      <c r="AI138" s="261">
        <f t="shared" si="16"/>
        <v>0</v>
      </c>
      <c r="AJ138" s="259" t="s">
        <v>381</v>
      </c>
      <c r="AK138" s="259" t="s">
        <v>382</v>
      </c>
      <c r="AL138" s="309">
        <f>2652599+795780+2652599+2652599+2652599+2652599+2652599+2652599+2652599+2652599+2652599+2652599</f>
        <v>29974369</v>
      </c>
      <c r="AM138" s="90" t="s">
        <v>127</v>
      </c>
      <c r="AN138" s="252"/>
    </row>
    <row r="139" spans="1:40" s="89" customFormat="1" ht="26.25" customHeight="1" x14ac:dyDescent="0.3">
      <c r="A139" s="94" t="s">
        <v>379</v>
      </c>
      <c r="B139" s="90" t="s">
        <v>65</v>
      </c>
      <c r="C139" s="138" t="s">
        <v>377</v>
      </c>
      <c r="D139" s="90" t="s">
        <v>65</v>
      </c>
      <c r="E139" s="90" t="s">
        <v>383</v>
      </c>
      <c r="F139" s="90">
        <v>80111600</v>
      </c>
      <c r="G139" s="87" t="s">
        <v>384</v>
      </c>
      <c r="H139" s="88">
        <v>1</v>
      </c>
      <c r="I139" s="88">
        <v>1</v>
      </c>
      <c r="J139" s="88">
        <v>11</v>
      </c>
      <c r="K139" s="72">
        <v>1</v>
      </c>
      <c r="L139" s="90" t="s">
        <v>45</v>
      </c>
      <c r="M139" s="88" t="s">
        <v>46</v>
      </c>
      <c r="N139" s="95">
        <f>2650000*11</f>
        <v>29150000</v>
      </c>
      <c r="O139" s="7">
        <v>0</v>
      </c>
      <c r="P139" s="7">
        <v>0</v>
      </c>
      <c r="Q139" s="90" t="s">
        <v>47</v>
      </c>
      <c r="R139" s="90" t="s">
        <v>48</v>
      </c>
      <c r="S139" s="87" t="s">
        <v>144</v>
      </c>
      <c r="T139" s="88">
        <v>3846666</v>
      </c>
      <c r="U139" s="93" t="s">
        <v>145</v>
      </c>
      <c r="V139" s="90" t="s">
        <v>313</v>
      </c>
      <c r="W139" s="75" t="s">
        <v>73</v>
      </c>
      <c r="X139" s="98" t="s">
        <v>146</v>
      </c>
      <c r="Y139" s="90"/>
      <c r="Z139" s="229"/>
      <c r="AA139" s="236">
        <f>2500000+1256667</f>
        <v>3756667</v>
      </c>
      <c r="AB139" s="8">
        <f t="shared" si="28"/>
        <v>25393333</v>
      </c>
      <c r="AC139" s="174">
        <v>6221</v>
      </c>
      <c r="AD139" s="175">
        <v>25393333</v>
      </c>
      <c r="AE139" s="175">
        <f t="shared" si="15"/>
        <v>0</v>
      </c>
      <c r="AF139" s="259">
        <v>7221</v>
      </c>
      <c r="AG139" s="260">
        <v>44260</v>
      </c>
      <c r="AH139" s="261">
        <v>25393333</v>
      </c>
      <c r="AI139" s="261">
        <f t="shared" si="16"/>
        <v>0</v>
      </c>
      <c r="AJ139" s="259" t="s">
        <v>385</v>
      </c>
      <c r="AK139" s="259" t="s">
        <v>386</v>
      </c>
      <c r="AL139" s="309">
        <f>1993333+2600000+2600000+2600000+2600000+2600000+2600000+2600000+2600000+2600000</f>
        <v>25393333</v>
      </c>
      <c r="AM139" s="90" t="s">
        <v>127</v>
      </c>
      <c r="AN139" s="252"/>
    </row>
    <row r="140" spans="1:40" s="89" customFormat="1" ht="26.25" customHeight="1" x14ac:dyDescent="0.3">
      <c r="A140" s="94" t="s">
        <v>379</v>
      </c>
      <c r="B140" s="90" t="s">
        <v>65</v>
      </c>
      <c r="C140" s="138" t="s">
        <v>377</v>
      </c>
      <c r="D140" s="90" t="s">
        <v>65</v>
      </c>
      <c r="E140" s="90" t="s">
        <v>383</v>
      </c>
      <c r="F140" s="90">
        <v>80111600</v>
      </c>
      <c r="G140" s="87" t="s">
        <v>387</v>
      </c>
      <c r="H140" s="88">
        <v>1</v>
      </c>
      <c r="I140" s="88">
        <v>1</v>
      </c>
      <c r="J140" s="88">
        <v>11</v>
      </c>
      <c r="K140" s="72">
        <v>1</v>
      </c>
      <c r="L140" s="90" t="s">
        <v>45</v>
      </c>
      <c r="M140" s="88" t="s">
        <v>46</v>
      </c>
      <c r="N140" s="95">
        <f>(3311421*11)-550000</f>
        <v>35875631</v>
      </c>
      <c r="O140" s="7">
        <v>0</v>
      </c>
      <c r="P140" s="7">
        <v>0</v>
      </c>
      <c r="Q140" s="90" t="s">
        <v>47</v>
      </c>
      <c r="R140" s="90" t="s">
        <v>48</v>
      </c>
      <c r="S140" s="87" t="s">
        <v>144</v>
      </c>
      <c r="T140" s="88">
        <v>3846666</v>
      </c>
      <c r="U140" s="93" t="s">
        <v>145</v>
      </c>
      <c r="V140" s="90" t="s">
        <v>313</v>
      </c>
      <c r="W140" s="75" t="s">
        <v>52</v>
      </c>
      <c r="X140" s="98" t="s">
        <v>146</v>
      </c>
      <c r="Y140" s="90"/>
      <c r="Z140" s="90"/>
      <c r="AA140" s="236"/>
      <c r="AB140" s="8">
        <f t="shared" si="28"/>
        <v>35875631</v>
      </c>
      <c r="AC140" s="174">
        <v>1321</v>
      </c>
      <c r="AD140" s="175">
        <v>35875621</v>
      </c>
      <c r="AE140" s="175">
        <f t="shared" si="15"/>
        <v>10</v>
      </c>
      <c r="AF140" s="259">
        <v>1421</v>
      </c>
      <c r="AG140" s="260">
        <v>44217</v>
      </c>
      <c r="AH140" s="261">
        <v>35875621</v>
      </c>
      <c r="AI140" s="261">
        <f t="shared" si="16"/>
        <v>10</v>
      </c>
      <c r="AJ140" s="259" t="s">
        <v>388</v>
      </c>
      <c r="AK140" s="259" t="s">
        <v>389</v>
      </c>
      <c r="AL140" s="309">
        <f>1055165+844132+2321364+3165496+3165496+3165496+3165496+3165496+3165496+3165496+3165496+3165496+3165496</f>
        <v>35875621</v>
      </c>
      <c r="AM140" s="90"/>
      <c r="AN140" s="252"/>
    </row>
    <row r="141" spans="1:40" s="89" customFormat="1" ht="26.25" customHeight="1" x14ac:dyDescent="0.3">
      <c r="A141" s="94" t="s">
        <v>379</v>
      </c>
      <c r="B141" s="90" t="s">
        <v>65</v>
      </c>
      <c r="C141" s="138" t="s">
        <v>377</v>
      </c>
      <c r="D141" s="90" t="s">
        <v>65</v>
      </c>
      <c r="E141" s="90" t="s">
        <v>142</v>
      </c>
      <c r="F141" s="90">
        <v>80111600</v>
      </c>
      <c r="G141" s="87" t="s">
        <v>390</v>
      </c>
      <c r="H141" s="88">
        <v>1</v>
      </c>
      <c r="I141" s="88">
        <v>1</v>
      </c>
      <c r="J141" s="88">
        <v>6</v>
      </c>
      <c r="K141" s="72">
        <v>1</v>
      </c>
      <c r="L141" s="90" t="s">
        <v>45</v>
      </c>
      <c r="M141" s="88" t="s">
        <v>119</v>
      </c>
      <c r="N141" s="95">
        <v>6360000</v>
      </c>
      <c r="O141" s="7">
        <v>0</v>
      </c>
      <c r="P141" s="7">
        <v>0</v>
      </c>
      <c r="Q141" s="90" t="s">
        <v>47</v>
      </c>
      <c r="R141" s="90" t="s">
        <v>48</v>
      </c>
      <c r="S141" s="87" t="s">
        <v>144</v>
      </c>
      <c r="T141" s="88">
        <v>3846666</v>
      </c>
      <c r="U141" s="93" t="s">
        <v>145</v>
      </c>
      <c r="V141" s="90" t="s">
        <v>313</v>
      </c>
      <c r="W141" s="75" t="s">
        <v>85</v>
      </c>
      <c r="X141" s="98" t="s">
        <v>146</v>
      </c>
      <c r="Y141" s="90"/>
      <c r="Z141" s="90"/>
      <c r="AA141" s="236"/>
      <c r="AB141" s="8">
        <f t="shared" si="28"/>
        <v>6360000</v>
      </c>
      <c r="AC141" s="174">
        <v>1421</v>
      </c>
      <c r="AD141" s="175">
        <f>6360000-2633478</f>
        <v>3726522</v>
      </c>
      <c r="AE141" s="175">
        <f t="shared" si="15"/>
        <v>2633478</v>
      </c>
      <c r="AF141" s="259" t="s">
        <v>1030</v>
      </c>
      <c r="AG141" s="260" t="s">
        <v>1029</v>
      </c>
      <c r="AH141" s="261">
        <f>621087+621087+621087+621087+621087+621087</f>
        <v>3726522</v>
      </c>
      <c r="AI141" s="261">
        <f t="shared" si="16"/>
        <v>2633478</v>
      </c>
      <c r="AJ141" s="259" t="s">
        <v>363</v>
      </c>
      <c r="AK141" s="259" t="s">
        <v>391</v>
      </c>
      <c r="AL141" s="309">
        <f>621087+621087+621087+621087+621087+621087</f>
        <v>3726522</v>
      </c>
      <c r="AM141" s="90"/>
      <c r="AN141" s="252"/>
    </row>
    <row r="142" spans="1:40" s="89" customFormat="1" ht="26.25" customHeight="1" x14ac:dyDescent="0.3">
      <c r="A142" s="94" t="s">
        <v>379</v>
      </c>
      <c r="B142" s="90" t="s">
        <v>65</v>
      </c>
      <c r="C142" s="138" t="s">
        <v>377</v>
      </c>
      <c r="D142" s="90" t="s">
        <v>65</v>
      </c>
      <c r="E142" s="90" t="s">
        <v>383</v>
      </c>
      <c r="F142" s="90" t="s">
        <v>852</v>
      </c>
      <c r="G142" s="87" t="s">
        <v>849</v>
      </c>
      <c r="H142" s="90" t="s">
        <v>850</v>
      </c>
      <c r="I142" s="90" t="s">
        <v>850</v>
      </c>
      <c r="J142" s="90" t="s">
        <v>851</v>
      </c>
      <c r="K142" s="72">
        <v>1</v>
      </c>
      <c r="L142" s="90" t="s">
        <v>45</v>
      </c>
      <c r="M142" s="88" t="s">
        <v>119</v>
      </c>
      <c r="N142" s="95">
        <f>3200000*5</f>
        <v>16000000</v>
      </c>
      <c r="O142" s="7">
        <v>0</v>
      </c>
      <c r="P142" s="7">
        <v>0</v>
      </c>
      <c r="Q142" s="90" t="s">
        <v>47</v>
      </c>
      <c r="R142" s="90" t="s">
        <v>48</v>
      </c>
      <c r="S142" s="87" t="s">
        <v>144</v>
      </c>
      <c r="T142" s="88">
        <v>3846666</v>
      </c>
      <c r="U142" s="93" t="s">
        <v>145</v>
      </c>
      <c r="V142" s="90" t="s">
        <v>313</v>
      </c>
      <c r="W142" s="75" t="s">
        <v>52</v>
      </c>
      <c r="X142" s="98" t="s">
        <v>146</v>
      </c>
      <c r="Y142" s="90"/>
      <c r="Z142" s="90"/>
      <c r="AA142" s="236"/>
      <c r="AB142" s="8">
        <f t="shared" si="28"/>
        <v>16000000</v>
      </c>
      <c r="AC142" s="174">
        <v>17521</v>
      </c>
      <c r="AD142" s="175">
        <v>16000000</v>
      </c>
      <c r="AE142" s="175">
        <f t="shared" si="15"/>
        <v>0</v>
      </c>
      <c r="AF142" s="259">
        <v>18421</v>
      </c>
      <c r="AG142" s="260">
        <v>44440</v>
      </c>
      <c r="AH142" s="261">
        <v>16000000</v>
      </c>
      <c r="AI142" s="261">
        <f t="shared" si="16"/>
        <v>0</v>
      </c>
      <c r="AJ142" s="259" t="s">
        <v>874</v>
      </c>
      <c r="AK142" s="259" t="s">
        <v>873</v>
      </c>
      <c r="AL142" s="309">
        <f>3000000+2000000+5000000+6000000</f>
        <v>16000000</v>
      </c>
      <c r="AM142" s="232" t="s">
        <v>798</v>
      </c>
      <c r="AN142" s="252"/>
    </row>
    <row r="143" spans="1:40" s="89" customFormat="1" ht="26.25" customHeight="1" x14ac:dyDescent="0.3">
      <c r="A143" s="94" t="s">
        <v>379</v>
      </c>
      <c r="B143" s="90" t="s">
        <v>65</v>
      </c>
      <c r="C143" s="138" t="s">
        <v>377</v>
      </c>
      <c r="D143" s="90" t="s">
        <v>65</v>
      </c>
      <c r="E143" s="90" t="s">
        <v>142</v>
      </c>
      <c r="F143" s="90">
        <v>80111600</v>
      </c>
      <c r="G143" s="87" t="s">
        <v>392</v>
      </c>
      <c r="H143" s="88">
        <v>1</v>
      </c>
      <c r="I143" s="88">
        <v>1</v>
      </c>
      <c r="J143" s="88">
        <v>10</v>
      </c>
      <c r="K143" s="72">
        <v>1</v>
      </c>
      <c r="L143" s="90" t="s">
        <v>45</v>
      </c>
      <c r="M143" s="88" t="s">
        <v>46</v>
      </c>
      <c r="N143" s="95">
        <f>2500000*10</f>
        <v>25000000</v>
      </c>
      <c r="O143" s="7">
        <v>0</v>
      </c>
      <c r="P143" s="7">
        <v>0</v>
      </c>
      <c r="Q143" s="90" t="s">
        <v>47</v>
      </c>
      <c r="R143" s="90" t="s">
        <v>48</v>
      </c>
      <c r="S143" s="87" t="s">
        <v>144</v>
      </c>
      <c r="T143" s="88">
        <v>3846666</v>
      </c>
      <c r="U143" s="93" t="s">
        <v>145</v>
      </c>
      <c r="V143" s="90" t="s">
        <v>313</v>
      </c>
      <c r="W143" s="75" t="s">
        <v>52</v>
      </c>
      <c r="X143" s="98" t="s">
        <v>146</v>
      </c>
      <c r="Y143" s="90"/>
      <c r="Z143" s="90"/>
      <c r="AA143" s="236">
        <v>60197</v>
      </c>
      <c r="AB143" s="8">
        <f t="shared" si="28"/>
        <v>24939803</v>
      </c>
      <c r="AC143" s="174">
        <v>3821</v>
      </c>
      <c r="AD143" s="175">
        <f>24999997-60194</f>
        <v>24939803</v>
      </c>
      <c r="AE143" s="175">
        <f t="shared" si="15"/>
        <v>0</v>
      </c>
      <c r="AF143" s="259">
        <v>4721</v>
      </c>
      <c r="AG143" s="260">
        <v>44232</v>
      </c>
      <c r="AH143" s="261">
        <v>24939803</v>
      </c>
      <c r="AI143" s="261">
        <f t="shared" si="16"/>
        <v>0</v>
      </c>
      <c r="AJ143" s="259" t="s">
        <v>393</v>
      </c>
      <c r="AK143" s="259" t="s">
        <v>394</v>
      </c>
      <c r="AL143" s="309">
        <f>1847393+2309241+2309241+2309241+2309241+2309241+2309241+2309241+2309241+2309241+2309241</f>
        <v>24939803</v>
      </c>
      <c r="AM143" s="90" t="s">
        <v>127</v>
      </c>
      <c r="AN143" s="252"/>
    </row>
    <row r="144" spans="1:40" s="89" customFormat="1" ht="26.25" customHeight="1" x14ac:dyDescent="0.3">
      <c r="A144" s="94" t="s">
        <v>379</v>
      </c>
      <c r="B144" s="90" t="s">
        <v>65</v>
      </c>
      <c r="C144" s="138" t="s">
        <v>377</v>
      </c>
      <c r="D144" s="90" t="s">
        <v>65</v>
      </c>
      <c r="E144" s="90" t="s">
        <v>142</v>
      </c>
      <c r="F144" s="90">
        <v>72103300</v>
      </c>
      <c r="G144" s="87" t="s">
        <v>395</v>
      </c>
      <c r="H144" s="88">
        <v>3</v>
      </c>
      <c r="I144" s="88">
        <v>5</v>
      </c>
      <c r="J144" s="88">
        <v>3</v>
      </c>
      <c r="K144" s="72">
        <v>1</v>
      </c>
      <c r="L144" s="90" t="s">
        <v>45</v>
      </c>
      <c r="M144" s="88" t="s">
        <v>46</v>
      </c>
      <c r="N144" s="95">
        <v>10000000</v>
      </c>
      <c r="O144" s="7">
        <v>0</v>
      </c>
      <c r="P144" s="7">
        <v>0</v>
      </c>
      <c r="Q144" s="90" t="s">
        <v>47</v>
      </c>
      <c r="R144" s="90" t="s">
        <v>48</v>
      </c>
      <c r="S144" s="87" t="s">
        <v>144</v>
      </c>
      <c r="T144" s="88">
        <v>3846666</v>
      </c>
      <c r="U144" s="93" t="s">
        <v>145</v>
      </c>
      <c r="V144" s="90" t="s">
        <v>313</v>
      </c>
      <c r="W144" s="75" t="s">
        <v>52</v>
      </c>
      <c r="X144" s="98" t="s">
        <v>146</v>
      </c>
      <c r="Y144" s="90"/>
      <c r="Z144" s="229">
        <v>2500000</v>
      </c>
      <c r="AA144" s="236"/>
      <c r="AB144" s="8">
        <f t="shared" si="28"/>
        <v>12500000</v>
      </c>
      <c r="AC144" s="174">
        <v>6021</v>
      </c>
      <c r="AD144" s="175">
        <v>12500000</v>
      </c>
      <c r="AE144" s="175">
        <f t="shared" si="15"/>
        <v>0</v>
      </c>
      <c r="AF144" s="259">
        <v>6721</v>
      </c>
      <c r="AG144" s="260">
        <v>44256</v>
      </c>
      <c r="AH144" s="261">
        <v>12500000</v>
      </c>
      <c r="AI144" s="261">
        <f t="shared" si="16"/>
        <v>0</v>
      </c>
      <c r="AJ144" s="259" t="s">
        <v>396</v>
      </c>
      <c r="AK144" s="259" t="s">
        <v>397</v>
      </c>
      <c r="AL144" s="309">
        <f>3000000+3000000+3000000+3500000</f>
        <v>12500000</v>
      </c>
      <c r="AM144" s="90"/>
      <c r="AN144" s="252"/>
    </row>
    <row r="145" spans="1:42" s="89" customFormat="1" ht="26.25" customHeight="1" x14ac:dyDescent="0.3">
      <c r="A145" s="94" t="s">
        <v>379</v>
      </c>
      <c r="B145" s="90" t="s">
        <v>65</v>
      </c>
      <c r="C145" s="138" t="s">
        <v>377</v>
      </c>
      <c r="D145" s="90" t="s">
        <v>65</v>
      </c>
      <c r="E145" s="90" t="s">
        <v>231</v>
      </c>
      <c r="F145" s="90">
        <v>80111600</v>
      </c>
      <c r="G145" s="101" t="s">
        <v>398</v>
      </c>
      <c r="H145" s="88">
        <v>1</v>
      </c>
      <c r="I145" s="88">
        <v>1</v>
      </c>
      <c r="J145" s="88">
        <v>11</v>
      </c>
      <c r="K145" s="72">
        <v>1</v>
      </c>
      <c r="L145" s="90" t="s">
        <v>45</v>
      </c>
      <c r="M145" s="88" t="s">
        <v>119</v>
      </c>
      <c r="N145" s="102">
        <f>2500000*11</f>
        <v>27500000</v>
      </c>
      <c r="O145" s="7">
        <v>0</v>
      </c>
      <c r="P145" s="7">
        <v>0</v>
      </c>
      <c r="Q145" s="90" t="s">
        <v>47</v>
      </c>
      <c r="R145" s="90" t="s">
        <v>48</v>
      </c>
      <c r="S145" s="87" t="s">
        <v>144</v>
      </c>
      <c r="T145" s="88">
        <v>3846666</v>
      </c>
      <c r="U145" s="93" t="s">
        <v>145</v>
      </c>
      <c r="V145" s="90" t="s">
        <v>313</v>
      </c>
      <c r="W145" s="75" t="s">
        <v>73</v>
      </c>
      <c r="X145" s="95" t="s">
        <v>233</v>
      </c>
      <c r="Y145" s="90"/>
      <c r="Z145" s="90"/>
      <c r="AA145" s="236"/>
      <c r="AB145" s="8">
        <f t="shared" si="28"/>
        <v>27500000</v>
      </c>
      <c r="AC145" s="174">
        <v>1921</v>
      </c>
      <c r="AD145" s="175">
        <v>27500000</v>
      </c>
      <c r="AE145" s="175">
        <f t="shared" si="15"/>
        <v>0</v>
      </c>
      <c r="AF145" s="259">
        <v>1721</v>
      </c>
      <c r="AG145" s="260">
        <v>44221</v>
      </c>
      <c r="AH145" s="261">
        <v>27500000</v>
      </c>
      <c r="AI145" s="261">
        <f t="shared" si="16"/>
        <v>0</v>
      </c>
      <c r="AJ145" s="259" t="s">
        <v>399</v>
      </c>
      <c r="AK145" s="259" t="s">
        <v>400</v>
      </c>
      <c r="AL145" s="309">
        <f>500000+2500000+2500000+2500000+2500000+2500000+2500000+2500000+2500000+2500000+2500000+2000000</f>
        <v>27500000</v>
      </c>
      <c r="AM145" s="90"/>
      <c r="AN145" s="252"/>
    </row>
    <row r="146" spans="1:42" s="89" customFormat="1" ht="26.25" customHeight="1" x14ac:dyDescent="0.3">
      <c r="A146" s="94" t="s">
        <v>401</v>
      </c>
      <c r="B146" s="90" t="s">
        <v>65</v>
      </c>
      <c r="C146" s="138" t="s">
        <v>377</v>
      </c>
      <c r="D146" s="90" t="s">
        <v>65</v>
      </c>
      <c r="E146" s="90" t="s">
        <v>47</v>
      </c>
      <c r="F146" s="90">
        <v>80111600</v>
      </c>
      <c r="G146" s="87" t="s">
        <v>402</v>
      </c>
      <c r="H146" s="88">
        <v>1</v>
      </c>
      <c r="I146" s="88">
        <v>1</v>
      </c>
      <c r="J146" s="88">
        <v>11</v>
      </c>
      <c r="K146" s="72">
        <v>1</v>
      </c>
      <c r="L146" s="90" t="s">
        <v>45</v>
      </c>
      <c r="M146" s="88" t="s">
        <v>46</v>
      </c>
      <c r="N146" s="95">
        <f>3732548*11</f>
        <v>41058028</v>
      </c>
      <c r="O146" s="7">
        <v>0</v>
      </c>
      <c r="P146" s="7">
        <v>0</v>
      </c>
      <c r="Q146" s="90" t="s">
        <v>47</v>
      </c>
      <c r="R146" s="90" t="s">
        <v>48</v>
      </c>
      <c r="S146" s="87" t="s">
        <v>254</v>
      </c>
      <c r="T146" s="87">
        <v>3846666</v>
      </c>
      <c r="U146" s="108" t="s">
        <v>255</v>
      </c>
      <c r="V146" s="90" t="s">
        <v>313</v>
      </c>
      <c r="W146" s="75" t="s">
        <v>52</v>
      </c>
      <c r="X146" s="87" t="s">
        <v>254</v>
      </c>
      <c r="Y146" s="90"/>
      <c r="Z146" s="235"/>
      <c r="AA146" s="236"/>
      <c r="AB146" s="8">
        <f t="shared" si="28"/>
        <v>41058028</v>
      </c>
      <c r="AC146" s="174">
        <v>1021</v>
      </c>
      <c r="AD146" s="175">
        <v>41058028</v>
      </c>
      <c r="AE146" s="175">
        <f t="shared" si="15"/>
        <v>0</v>
      </c>
      <c r="AF146" s="259">
        <v>621</v>
      </c>
      <c r="AG146" s="260">
        <v>44215</v>
      </c>
      <c r="AH146" s="261">
        <v>41058028</v>
      </c>
      <c r="AI146" s="261">
        <f t="shared" si="16"/>
        <v>0</v>
      </c>
      <c r="AJ146" s="259" t="s">
        <v>403</v>
      </c>
      <c r="AK146" s="259" t="s">
        <v>404</v>
      </c>
      <c r="AL146" s="309">
        <f>3732548+1368601+3732548+3732548+3732548+3732548+3732548+3732548+3732548+3732548+3732548+2363947</f>
        <v>41058028</v>
      </c>
      <c r="AM146" s="90"/>
      <c r="AN146" s="252"/>
    </row>
    <row r="147" spans="1:42" s="89" customFormat="1" ht="26.25" customHeight="1" x14ac:dyDescent="0.3">
      <c r="A147" s="94" t="s">
        <v>401</v>
      </c>
      <c r="B147" s="90" t="s">
        <v>65</v>
      </c>
      <c r="C147" s="138" t="s">
        <v>377</v>
      </c>
      <c r="D147" s="90" t="s">
        <v>65</v>
      </c>
      <c r="E147" s="90" t="s">
        <v>47</v>
      </c>
      <c r="F147" s="90">
        <v>80111600</v>
      </c>
      <c r="G147" s="87" t="s">
        <v>402</v>
      </c>
      <c r="H147" s="88">
        <v>12</v>
      </c>
      <c r="I147" s="88">
        <v>12</v>
      </c>
      <c r="J147" s="88" t="s">
        <v>1014</v>
      </c>
      <c r="K147" s="72">
        <v>0</v>
      </c>
      <c r="L147" s="90" t="s">
        <v>45</v>
      </c>
      <c r="M147" s="88" t="s">
        <v>119</v>
      </c>
      <c r="N147" s="95">
        <v>0</v>
      </c>
      <c r="O147" s="7">
        <v>0</v>
      </c>
      <c r="P147" s="7">
        <v>0</v>
      </c>
      <c r="Q147" s="90" t="s">
        <v>47</v>
      </c>
      <c r="R147" s="90" t="s">
        <v>48</v>
      </c>
      <c r="S147" s="87" t="s">
        <v>254</v>
      </c>
      <c r="T147" s="87">
        <v>3846666</v>
      </c>
      <c r="U147" s="108" t="s">
        <v>255</v>
      </c>
      <c r="V147" s="90" t="s">
        <v>313</v>
      </c>
      <c r="W147" s="75" t="s">
        <v>52</v>
      </c>
      <c r="X147" s="87" t="s">
        <v>254</v>
      </c>
      <c r="Y147" s="235">
        <v>1368601</v>
      </c>
      <c r="Z147" s="235"/>
      <c r="AA147" s="236"/>
      <c r="AB147" s="8">
        <f t="shared" ref="AB147" si="29">+N147+Y147+Z147-AA147</f>
        <v>1368601</v>
      </c>
      <c r="AC147" s="174">
        <v>25621</v>
      </c>
      <c r="AD147" s="175">
        <v>1368601</v>
      </c>
      <c r="AE147" s="175">
        <f t="shared" ref="AE147" si="30">+AB147-AD147</f>
        <v>0</v>
      </c>
      <c r="AF147" s="259">
        <v>28821</v>
      </c>
      <c r="AG147" s="260">
        <v>44547</v>
      </c>
      <c r="AH147" s="261">
        <v>1368601</v>
      </c>
      <c r="AI147" s="261">
        <f t="shared" ref="AI147" si="31">+AB147-AH147</f>
        <v>0</v>
      </c>
      <c r="AJ147" s="259" t="s">
        <v>403</v>
      </c>
      <c r="AK147" s="259" t="s">
        <v>404</v>
      </c>
      <c r="AL147" s="309">
        <v>1368601</v>
      </c>
      <c r="AM147" s="90" t="s">
        <v>960</v>
      </c>
      <c r="AN147" s="252"/>
    </row>
    <row r="148" spans="1:42" s="89" customFormat="1" ht="26.25" customHeight="1" x14ac:dyDescent="0.3">
      <c r="A148" s="103" t="s">
        <v>379</v>
      </c>
      <c r="B148" s="90" t="s">
        <v>65</v>
      </c>
      <c r="C148" s="138" t="s">
        <v>377</v>
      </c>
      <c r="D148" s="90" t="s">
        <v>65</v>
      </c>
      <c r="E148" s="90" t="s">
        <v>249</v>
      </c>
      <c r="F148" s="90">
        <v>80111600</v>
      </c>
      <c r="G148" s="87" t="s">
        <v>405</v>
      </c>
      <c r="H148" s="88">
        <v>1</v>
      </c>
      <c r="I148" s="88">
        <v>1</v>
      </c>
      <c r="J148" s="88">
        <v>11</v>
      </c>
      <c r="K148" s="72">
        <v>1</v>
      </c>
      <c r="L148" s="90" t="s">
        <v>45</v>
      </c>
      <c r="M148" s="88" t="s">
        <v>46</v>
      </c>
      <c r="N148" s="95">
        <f>3420560*11</f>
        <v>37626160</v>
      </c>
      <c r="O148" s="7">
        <v>0</v>
      </c>
      <c r="P148" s="7">
        <v>0</v>
      </c>
      <c r="Q148" s="90" t="s">
        <v>47</v>
      </c>
      <c r="R148" s="90" t="s">
        <v>48</v>
      </c>
      <c r="S148" s="87" t="s">
        <v>406</v>
      </c>
      <c r="T148" s="87">
        <v>3846666</v>
      </c>
      <c r="U148" s="93" t="s">
        <v>251</v>
      </c>
      <c r="V148" s="90" t="s">
        <v>313</v>
      </c>
      <c r="W148" s="75" t="s">
        <v>52</v>
      </c>
      <c r="X148" s="87" t="s">
        <v>406</v>
      </c>
      <c r="Y148" s="90"/>
      <c r="Z148" s="90"/>
      <c r="AA148" s="236"/>
      <c r="AB148" s="8">
        <f t="shared" si="28"/>
        <v>37626160</v>
      </c>
      <c r="AC148" s="174">
        <v>2421</v>
      </c>
      <c r="AD148" s="175">
        <v>37626160</v>
      </c>
      <c r="AE148" s="175">
        <f>+AB148-AD148</f>
        <v>0</v>
      </c>
      <c r="AF148" s="259">
        <v>3121</v>
      </c>
      <c r="AG148" s="260">
        <v>44225</v>
      </c>
      <c r="AH148" s="261">
        <v>37626160</v>
      </c>
      <c r="AI148" s="261">
        <f t="shared" si="16"/>
        <v>0</v>
      </c>
      <c r="AJ148" s="259" t="s">
        <v>407</v>
      </c>
      <c r="AK148" s="259" t="s">
        <v>408</v>
      </c>
      <c r="AL148" s="309">
        <f>3420560+3420560+3420560+3420560+3420560+3420560+3420560+3420560+3420560+3420560+3420560</f>
        <v>37626160</v>
      </c>
      <c r="AM148" s="90"/>
      <c r="AN148" s="252"/>
    </row>
    <row r="149" spans="1:42" s="89" customFormat="1" ht="26.25" customHeight="1" x14ac:dyDescent="0.3">
      <c r="A149" s="94" t="s">
        <v>409</v>
      </c>
      <c r="B149" s="90" t="s">
        <v>65</v>
      </c>
      <c r="C149" s="138" t="s">
        <v>377</v>
      </c>
      <c r="D149" s="90" t="s">
        <v>65</v>
      </c>
      <c r="E149" s="90" t="s">
        <v>142</v>
      </c>
      <c r="F149" s="90">
        <v>83111500</v>
      </c>
      <c r="G149" s="87" t="s">
        <v>410</v>
      </c>
      <c r="H149" s="88" t="s">
        <v>65</v>
      </c>
      <c r="I149" s="88" t="s">
        <v>65</v>
      </c>
      <c r="J149" s="88" t="s">
        <v>65</v>
      </c>
      <c r="K149" s="88" t="s">
        <v>65</v>
      </c>
      <c r="L149" s="90" t="s">
        <v>67</v>
      </c>
      <c r="M149" s="88" t="s">
        <v>119</v>
      </c>
      <c r="N149" s="95">
        <v>17160000</v>
      </c>
      <c r="O149" s="7">
        <v>0</v>
      </c>
      <c r="P149" s="7">
        <v>0</v>
      </c>
      <c r="Q149" s="90" t="s">
        <v>47</v>
      </c>
      <c r="R149" s="90" t="s">
        <v>48</v>
      </c>
      <c r="S149" s="87" t="s">
        <v>144</v>
      </c>
      <c r="T149" s="88">
        <v>3846666</v>
      </c>
      <c r="U149" s="93" t="s">
        <v>145</v>
      </c>
      <c r="V149" s="90" t="s">
        <v>313</v>
      </c>
      <c r="W149" s="75" t="s">
        <v>85</v>
      </c>
      <c r="X149" s="87" t="s">
        <v>146</v>
      </c>
      <c r="Y149" s="90"/>
      <c r="Z149" s="90"/>
      <c r="AA149" s="236"/>
      <c r="AB149" s="8">
        <f t="shared" si="28"/>
        <v>17160000</v>
      </c>
      <c r="AC149" s="174" t="s">
        <v>1018</v>
      </c>
      <c r="AD149" s="175">
        <f>413180+833000+437800+833000+413180+833000+413180+833000+413180+833000+413180+833000+413180+833000+413180+833000+279499.95+279499.95+833000+279499.95+833000+277696.73+833000+834650+279499.95</f>
        <v>14723406.529999997</v>
      </c>
      <c r="AE149" s="175">
        <f t="shared" si="15"/>
        <v>2436593.4700000025</v>
      </c>
      <c r="AF149" s="259" t="s">
        <v>1021</v>
      </c>
      <c r="AG149" s="260" t="s">
        <v>1022</v>
      </c>
      <c r="AH149" s="261">
        <f>413180+833000+437800+833000+413180+833000+413180+833000+413180+833000+413180+833000+413180+833000+413180+833000+279499.95+279499.95+833000+279499.95+833000+277696.73+833000+834650+279499.95</f>
        <v>14723406.529999997</v>
      </c>
      <c r="AI149" s="261">
        <f t="shared" si="16"/>
        <v>2436593.4700000025</v>
      </c>
      <c r="AJ149" s="259" t="s">
        <v>363</v>
      </c>
      <c r="AK149" s="259" t="s">
        <v>892</v>
      </c>
      <c r="AL149" s="309">
        <f>413180+833000+437800+833000+413180+833000+413180+833000+413180+833000+413180+833000+413180+833000+413180+833000+279499.95+279499.95+833000+279499.95+833000+277696.73+833000+834650+279499.95</f>
        <v>14723406.529999997</v>
      </c>
      <c r="AM149" s="90"/>
      <c r="AN149" s="252"/>
    </row>
    <row r="150" spans="1:42" s="89" customFormat="1" ht="26.25" customHeight="1" x14ac:dyDescent="0.3">
      <c r="A150" s="94" t="s">
        <v>409</v>
      </c>
      <c r="B150" s="90" t="s">
        <v>65</v>
      </c>
      <c r="C150" s="138" t="s">
        <v>377</v>
      </c>
      <c r="D150" s="90" t="s">
        <v>65</v>
      </c>
      <c r="E150" s="90" t="s">
        <v>261</v>
      </c>
      <c r="F150" s="90">
        <v>81112100</v>
      </c>
      <c r="G150" s="87" t="s">
        <v>411</v>
      </c>
      <c r="H150" s="88">
        <v>5</v>
      </c>
      <c r="I150" s="88">
        <v>5</v>
      </c>
      <c r="J150" s="88">
        <v>7</v>
      </c>
      <c r="K150" s="72">
        <v>1</v>
      </c>
      <c r="L150" s="7" t="s">
        <v>182</v>
      </c>
      <c r="M150" s="88" t="s">
        <v>46</v>
      </c>
      <c r="N150" s="95">
        <f>5200000-1881472</f>
        <v>3318528</v>
      </c>
      <c r="O150" s="7">
        <v>0</v>
      </c>
      <c r="P150" s="7">
        <v>0</v>
      </c>
      <c r="Q150" s="90" t="s">
        <v>47</v>
      </c>
      <c r="R150" s="90" t="s">
        <v>48</v>
      </c>
      <c r="S150" s="87" t="s">
        <v>247</v>
      </c>
      <c r="T150" s="88">
        <v>3846666</v>
      </c>
      <c r="U150" s="93" t="s">
        <v>248</v>
      </c>
      <c r="V150" s="90" t="s">
        <v>313</v>
      </c>
      <c r="W150" s="75" t="s">
        <v>85</v>
      </c>
      <c r="X150" s="87" t="s">
        <v>286</v>
      </c>
      <c r="Y150" s="90"/>
      <c r="Z150" s="90"/>
      <c r="AA150" s="236"/>
      <c r="AB150" s="8">
        <f t="shared" si="28"/>
        <v>3318528</v>
      </c>
      <c r="AC150" s="174">
        <v>9121</v>
      </c>
      <c r="AD150" s="175">
        <v>3136837.5</v>
      </c>
      <c r="AE150" s="181">
        <f t="shared" si="15"/>
        <v>181690.5</v>
      </c>
      <c r="AF150" s="259">
        <v>10721</v>
      </c>
      <c r="AG150" s="260">
        <v>44323</v>
      </c>
      <c r="AH150" s="261">
        <v>3136837.5</v>
      </c>
      <c r="AI150" s="261">
        <f t="shared" si="16"/>
        <v>181690.5</v>
      </c>
      <c r="AJ150" s="259" t="s">
        <v>412</v>
      </c>
      <c r="AK150" s="259" t="s">
        <v>280</v>
      </c>
      <c r="AL150" s="309">
        <f>209122.5+418245+418245+418245+418245+418245+418245+418245</f>
        <v>3136837.5</v>
      </c>
      <c r="AM150" s="90"/>
      <c r="AN150" s="252"/>
    </row>
    <row r="151" spans="1:42" s="89" customFormat="1" ht="26.25" customHeight="1" x14ac:dyDescent="0.3">
      <c r="A151" s="94" t="s">
        <v>409</v>
      </c>
      <c r="B151" s="90" t="s">
        <v>65</v>
      </c>
      <c r="C151" s="138" t="s">
        <v>377</v>
      </c>
      <c r="D151" s="90" t="s">
        <v>65</v>
      </c>
      <c r="E151" s="90" t="s">
        <v>261</v>
      </c>
      <c r="F151" s="90">
        <v>81112100</v>
      </c>
      <c r="G151" s="87" t="s">
        <v>413</v>
      </c>
      <c r="H151" s="88">
        <v>1</v>
      </c>
      <c r="I151" s="88">
        <v>1</v>
      </c>
      <c r="J151" s="88" t="s">
        <v>414</v>
      </c>
      <c r="K151" s="7">
        <v>0</v>
      </c>
      <c r="L151" s="7" t="s">
        <v>182</v>
      </c>
      <c r="M151" s="88" t="s">
        <v>46</v>
      </c>
      <c r="N151" s="95">
        <v>1881472</v>
      </c>
      <c r="O151" s="90">
        <v>1</v>
      </c>
      <c r="P151" s="90">
        <v>3</v>
      </c>
      <c r="Q151" s="90" t="s">
        <v>47</v>
      </c>
      <c r="R151" s="90" t="s">
        <v>48</v>
      </c>
      <c r="S151" s="87" t="s">
        <v>247</v>
      </c>
      <c r="T151" s="88">
        <v>3846666</v>
      </c>
      <c r="U151" s="93" t="s">
        <v>248</v>
      </c>
      <c r="V151" s="90" t="s">
        <v>313</v>
      </c>
      <c r="W151" s="75" t="s">
        <v>85</v>
      </c>
      <c r="X151" s="87" t="s">
        <v>286</v>
      </c>
      <c r="Y151" s="90"/>
      <c r="Z151" s="90"/>
      <c r="AA151" s="236"/>
      <c r="AB151" s="8">
        <f t="shared" ref="AB151" si="32">+N151+Y151+Z151-AA151</f>
        <v>1881472</v>
      </c>
      <c r="AC151" s="174">
        <v>221</v>
      </c>
      <c r="AD151" s="175">
        <v>1881472</v>
      </c>
      <c r="AE151" s="175">
        <f t="shared" si="15"/>
        <v>0</v>
      </c>
      <c r="AF151" s="259">
        <v>221</v>
      </c>
      <c r="AG151" s="260">
        <v>44211</v>
      </c>
      <c r="AH151" s="261">
        <v>1881472</v>
      </c>
      <c r="AI151" s="261">
        <f t="shared" si="16"/>
        <v>0</v>
      </c>
      <c r="AJ151" s="259" t="s">
        <v>415</v>
      </c>
      <c r="AK151" s="259" t="s">
        <v>280</v>
      </c>
      <c r="AL151" s="309">
        <f>418105+418105+418105+418105+209052</f>
        <v>1881472</v>
      </c>
      <c r="AM151" s="90"/>
      <c r="AN151" s="252"/>
      <c r="AP151" s="246"/>
    </row>
    <row r="152" spans="1:42" s="89" customFormat="1" ht="26.25" customHeight="1" x14ac:dyDescent="0.3">
      <c r="A152" s="94" t="s">
        <v>416</v>
      </c>
      <c r="B152" s="90" t="s">
        <v>65</v>
      </c>
      <c r="C152" s="138" t="s">
        <v>377</v>
      </c>
      <c r="D152" s="90" t="s">
        <v>65</v>
      </c>
      <c r="E152" s="90" t="s">
        <v>142</v>
      </c>
      <c r="F152" s="90">
        <v>92101501</v>
      </c>
      <c r="G152" s="87" t="s">
        <v>417</v>
      </c>
      <c r="H152" s="88">
        <v>2</v>
      </c>
      <c r="I152" s="88">
        <v>4</v>
      </c>
      <c r="J152" s="88">
        <v>8</v>
      </c>
      <c r="K152" s="72">
        <v>1</v>
      </c>
      <c r="L152" s="90" t="s">
        <v>418</v>
      </c>
      <c r="M152" s="88" t="s">
        <v>119</v>
      </c>
      <c r="N152" s="95">
        <v>85018841</v>
      </c>
      <c r="O152" s="7">
        <v>0</v>
      </c>
      <c r="P152" s="7">
        <v>0</v>
      </c>
      <c r="Q152" s="90" t="s">
        <v>47</v>
      </c>
      <c r="R152" s="90" t="s">
        <v>48</v>
      </c>
      <c r="S152" s="87" t="s">
        <v>144</v>
      </c>
      <c r="T152" s="88">
        <v>3846666</v>
      </c>
      <c r="U152" s="93" t="s">
        <v>145</v>
      </c>
      <c r="V152" s="90" t="s">
        <v>313</v>
      </c>
      <c r="W152" s="75" t="s">
        <v>85</v>
      </c>
      <c r="X152" s="87" t="s">
        <v>146</v>
      </c>
      <c r="Y152" s="90"/>
      <c r="Z152" s="90"/>
      <c r="AA152" s="236">
        <f>155820+1928100.12+7050000</f>
        <v>9133920.120000001</v>
      </c>
      <c r="AB152" s="8">
        <f t="shared" si="28"/>
        <v>75884920.879999995</v>
      </c>
      <c r="AC152" s="174">
        <v>7121</v>
      </c>
      <c r="AD152" s="175">
        <f>84863021-8978100.12</f>
        <v>75884920.879999995</v>
      </c>
      <c r="AE152" s="181">
        <f t="shared" si="15"/>
        <v>0</v>
      </c>
      <c r="AF152" s="259">
        <v>10221</v>
      </c>
      <c r="AG152" s="260">
        <v>44315</v>
      </c>
      <c r="AH152" s="261">
        <v>75884920.879999995</v>
      </c>
      <c r="AI152" s="261">
        <f t="shared" si="16"/>
        <v>0</v>
      </c>
      <c r="AJ152" s="259" t="s">
        <v>419</v>
      </c>
      <c r="AK152" s="259" t="s">
        <v>420</v>
      </c>
      <c r="AL152" s="309">
        <f>9485614+9485614+9485614+9485614+9485614+9485614+9485614</f>
        <v>66399298</v>
      </c>
      <c r="AM152" s="90" t="s">
        <v>897</v>
      </c>
      <c r="AN152" s="252"/>
    </row>
    <row r="153" spans="1:42" s="89" customFormat="1" ht="26.25" customHeight="1" x14ac:dyDescent="0.3">
      <c r="A153" s="94" t="s">
        <v>416</v>
      </c>
      <c r="B153" s="90" t="s">
        <v>65</v>
      </c>
      <c r="C153" s="138" t="s">
        <v>377</v>
      </c>
      <c r="D153" s="90" t="s">
        <v>65</v>
      </c>
      <c r="E153" s="90" t="s">
        <v>142</v>
      </c>
      <c r="F153" s="90">
        <v>92101501</v>
      </c>
      <c r="G153" s="87" t="s">
        <v>421</v>
      </c>
      <c r="H153" s="88">
        <v>1</v>
      </c>
      <c r="I153" s="88">
        <v>1</v>
      </c>
      <c r="J153" s="88">
        <v>4</v>
      </c>
      <c r="K153" s="72">
        <v>1</v>
      </c>
      <c r="L153" s="90" t="s">
        <v>418</v>
      </c>
      <c r="M153" s="88" t="s">
        <v>46</v>
      </c>
      <c r="N153" s="95">
        <v>38249044</v>
      </c>
      <c r="O153" s="90">
        <v>1</v>
      </c>
      <c r="P153" s="90">
        <v>3</v>
      </c>
      <c r="Q153" s="90" t="s">
        <v>47</v>
      </c>
      <c r="R153" s="90" t="s">
        <v>48</v>
      </c>
      <c r="S153" s="87" t="s">
        <v>144</v>
      </c>
      <c r="T153" s="88">
        <v>3846666</v>
      </c>
      <c r="U153" s="93" t="s">
        <v>145</v>
      </c>
      <c r="V153" s="90" t="s">
        <v>313</v>
      </c>
      <c r="W153" s="75" t="s">
        <v>85</v>
      </c>
      <c r="X153" s="87" t="s">
        <v>146</v>
      </c>
      <c r="Y153" s="90"/>
      <c r="Z153" s="90"/>
      <c r="AA153" s="236"/>
      <c r="AB153" s="8">
        <f t="shared" si="28"/>
        <v>38249044</v>
      </c>
      <c r="AC153" s="174">
        <v>321</v>
      </c>
      <c r="AD153" s="175">
        <f>38249044-975400</f>
        <v>37273644</v>
      </c>
      <c r="AE153" s="175">
        <f t="shared" si="15"/>
        <v>975400</v>
      </c>
      <c r="AF153" s="259">
        <v>321</v>
      </c>
      <c r="AG153" s="260">
        <v>44211</v>
      </c>
      <c r="AH153" s="261">
        <f>38249044-975400</f>
        <v>37273644</v>
      </c>
      <c r="AI153" s="261">
        <f t="shared" si="16"/>
        <v>975400</v>
      </c>
      <c r="AJ153" s="259" t="s">
        <v>422</v>
      </c>
      <c r="AK153" s="259" t="s">
        <v>423</v>
      </c>
      <c r="AL153" s="309">
        <f>9318411+9318411+9318411+9318411</f>
        <v>37273644</v>
      </c>
      <c r="AM153" s="90"/>
      <c r="AN153" s="252"/>
    </row>
    <row r="154" spans="1:42" s="89" customFormat="1" ht="26.25" customHeight="1" x14ac:dyDescent="0.3">
      <c r="A154" s="94" t="s">
        <v>416</v>
      </c>
      <c r="B154" s="90" t="s">
        <v>65</v>
      </c>
      <c r="C154" s="138" t="s">
        <v>377</v>
      </c>
      <c r="D154" s="90" t="s">
        <v>65</v>
      </c>
      <c r="E154" s="90" t="s">
        <v>142</v>
      </c>
      <c r="F154" s="90">
        <v>76111501</v>
      </c>
      <c r="G154" s="231" t="s">
        <v>424</v>
      </c>
      <c r="H154" s="88">
        <v>2</v>
      </c>
      <c r="I154" s="88">
        <v>3</v>
      </c>
      <c r="J154" s="88">
        <v>9</v>
      </c>
      <c r="K154" s="72">
        <v>1</v>
      </c>
      <c r="L154" s="90" t="s">
        <v>418</v>
      </c>
      <c r="M154" s="88" t="s">
        <v>119</v>
      </c>
      <c r="N154" s="95">
        <v>28761365</v>
      </c>
      <c r="O154" s="7">
        <v>0</v>
      </c>
      <c r="P154" s="7">
        <v>0</v>
      </c>
      <c r="Q154" s="90" t="s">
        <v>47</v>
      </c>
      <c r="R154" s="90" t="s">
        <v>48</v>
      </c>
      <c r="S154" s="87" t="s">
        <v>144</v>
      </c>
      <c r="T154" s="88">
        <v>3846666</v>
      </c>
      <c r="U154" s="93" t="s">
        <v>145</v>
      </c>
      <c r="V154" s="90" t="s">
        <v>313</v>
      </c>
      <c r="W154" s="75" t="s">
        <v>85</v>
      </c>
      <c r="X154" s="87" t="s">
        <v>146</v>
      </c>
      <c r="Y154" s="90"/>
      <c r="Z154" s="173">
        <v>2313392.41</v>
      </c>
      <c r="AA154" s="236"/>
      <c r="AB154" s="8">
        <f t="shared" si="28"/>
        <v>31074757.41</v>
      </c>
      <c r="AC154" s="174">
        <v>7621</v>
      </c>
      <c r="AD154" s="175">
        <v>31074757.41</v>
      </c>
      <c r="AE154" s="175">
        <f t="shared" ref="AE154:AE184" si="33">+AB154-AD154</f>
        <v>0</v>
      </c>
      <c r="AF154" s="264">
        <v>8321</v>
      </c>
      <c r="AG154" s="260">
        <v>44281</v>
      </c>
      <c r="AH154" s="261">
        <v>31074757.41</v>
      </c>
      <c r="AI154" s="261">
        <f t="shared" ref="AI154:AI184" si="34">+AB154-AH154</f>
        <v>0</v>
      </c>
      <c r="AJ154" s="259" t="s">
        <v>317</v>
      </c>
      <c r="AK154" s="259" t="s">
        <v>318</v>
      </c>
      <c r="AL154" s="309">
        <f>3510377.94+3510377.94+3510377.93+3510377.93+3510377.93+3510377.93+3510378+2991733.93+222610.57</f>
        <v>27786990.100000001</v>
      </c>
      <c r="AM154" s="90" t="s">
        <v>127</v>
      </c>
      <c r="AN154" s="252"/>
    </row>
    <row r="155" spans="1:42" s="89" customFormat="1" ht="26.25" customHeight="1" x14ac:dyDescent="0.3">
      <c r="A155" s="94" t="s">
        <v>416</v>
      </c>
      <c r="B155" s="90" t="s">
        <v>65</v>
      </c>
      <c r="C155" s="138" t="s">
        <v>377</v>
      </c>
      <c r="D155" s="90" t="s">
        <v>65</v>
      </c>
      <c r="E155" s="90" t="s">
        <v>142</v>
      </c>
      <c r="F155" s="90">
        <v>76111501</v>
      </c>
      <c r="G155" s="231" t="s">
        <v>425</v>
      </c>
      <c r="H155" s="88">
        <v>1</v>
      </c>
      <c r="I155" s="88">
        <v>1</v>
      </c>
      <c r="J155" s="88">
        <v>3</v>
      </c>
      <c r="K155" s="72">
        <v>1</v>
      </c>
      <c r="L155" s="90" t="s">
        <v>418</v>
      </c>
      <c r="M155" s="88" t="s">
        <v>46</v>
      </c>
      <c r="N155" s="95">
        <f>11827756-523599</f>
        <v>11304157</v>
      </c>
      <c r="O155" s="90">
        <v>1</v>
      </c>
      <c r="P155" s="90">
        <v>3</v>
      </c>
      <c r="Q155" s="90" t="s">
        <v>47</v>
      </c>
      <c r="R155" s="90" t="s">
        <v>48</v>
      </c>
      <c r="S155" s="87" t="s">
        <v>144</v>
      </c>
      <c r="T155" s="88">
        <v>3846666</v>
      </c>
      <c r="U155" s="93" t="s">
        <v>145</v>
      </c>
      <c r="V155" s="90" t="s">
        <v>313</v>
      </c>
      <c r="W155" s="75" t="s">
        <v>85</v>
      </c>
      <c r="X155" s="87" t="s">
        <v>146</v>
      </c>
      <c r="Y155" s="90"/>
      <c r="Z155" s="90"/>
      <c r="AA155" s="236"/>
      <c r="AB155" s="8">
        <f t="shared" si="28"/>
        <v>11304157</v>
      </c>
      <c r="AC155" s="174" t="s">
        <v>426</v>
      </c>
      <c r="AD155" s="175">
        <f>10785513+518644-204205.91</f>
        <v>11099951.09</v>
      </c>
      <c r="AE155" s="175">
        <f t="shared" si="33"/>
        <v>204205.91000000015</v>
      </c>
      <c r="AF155" s="259" t="s">
        <v>427</v>
      </c>
      <c r="AG155" s="260" t="s">
        <v>428</v>
      </c>
      <c r="AH155" s="261">
        <f>10785513+518644-204205.91</f>
        <v>11099951.09</v>
      </c>
      <c r="AI155" s="261">
        <f t="shared" si="34"/>
        <v>204205.91000000015</v>
      </c>
      <c r="AJ155" s="259" t="s">
        <v>429</v>
      </c>
      <c r="AK155" s="259" t="s">
        <v>430</v>
      </c>
      <c r="AL155" s="309">
        <f>81083.19+3510378.9+3271871.5+3510378.9+238507.4+486454.4</f>
        <v>11098674.290000001</v>
      </c>
      <c r="AM155" s="90"/>
      <c r="AN155" s="252"/>
    </row>
    <row r="156" spans="1:42" s="89" customFormat="1" ht="26.25" customHeight="1" x14ac:dyDescent="0.3">
      <c r="A156" s="94" t="s">
        <v>416</v>
      </c>
      <c r="B156" s="90" t="s">
        <v>65</v>
      </c>
      <c r="C156" s="138" t="s">
        <v>377</v>
      </c>
      <c r="D156" s="90" t="s">
        <v>65</v>
      </c>
      <c r="E156" s="90" t="s">
        <v>142</v>
      </c>
      <c r="F156" s="90">
        <v>47121600</v>
      </c>
      <c r="G156" s="231" t="s">
        <v>431</v>
      </c>
      <c r="H156" s="88">
        <v>2</v>
      </c>
      <c r="I156" s="88">
        <v>3</v>
      </c>
      <c r="J156" s="88">
        <v>9</v>
      </c>
      <c r="K156" s="72">
        <v>1</v>
      </c>
      <c r="L156" s="7" t="s">
        <v>182</v>
      </c>
      <c r="M156" s="88" t="s">
        <v>46</v>
      </c>
      <c r="N156" s="95">
        <v>1990497</v>
      </c>
      <c r="O156" s="7">
        <v>0</v>
      </c>
      <c r="P156" s="7">
        <v>0</v>
      </c>
      <c r="Q156" s="90" t="s">
        <v>47</v>
      </c>
      <c r="R156" s="90" t="s">
        <v>48</v>
      </c>
      <c r="S156" s="87" t="s">
        <v>144</v>
      </c>
      <c r="T156" s="88">
        <v>3846666</v>
      </c>
      <c r="U156" s="93" t="s">
        <v>145</v>
      </c>
      <c r="V156" s="90" t="s">
        <v>313</v>
      </c>
      <c r="W156" s="75" t="s">
        <v>85</v>
      </c>
      <c r="X156" s="87" t="s">
        <v>146</v>
      </c>
      <c r="Y156" s="90"/>
      <c r="Z156" s="90"/>
      <c r="AA156" s="236"/>
      <c r="AB156" s="8">
        <f t="shared" si="28"/>
        <v>1990497</v>
      </c>
      <c r="AC156" s="174">
        <v>7621</v>
      </c>
      <c r="AD156" s="175">
        <v>1990497</v>
      </c>
      <c r="AE156" s="175">
        <f t="shared" si="33"/>
        <v>0</v>
      </c>
      <c r="AF156" s="264">
        <v>8321</v>
      </c>
      <c r="AG156" s="260">
        <v>44281</v>
      </c>
      <c r="AH156" s="261">
        <v>1990497</v>
      </c>
      <c r="AI156" s="261">
        <f t="shared" si="34"/>
        <v>0</v>
      </c>
      <c r="AJ156" s="259" t="s">
        <v>317</v>
      </c>
      <c r="AK156" s="259" t="s">
        <v>318</v>
      </c>
      <c r="AL156" s="309">
        <f>222610.57+222610.57+222610.57+518644+206578.75+222610.57</f>
        <v>1615665.03</v>
      </c>
      <c r="AM156" s="90"/>
      <c r="AN156" s="252"/>
    </row>
    <row r="157" spans="1:42" s="89" customFormat="1" ht="26.25" customHeight="1" x14ac:dyDescent="0.3">
      <c r="A157" s="94" t="s">
        <v>416</v>
      </c>
      <c r="B157" s="90" t="s">
        <v>65</v>
      </c>
      <c r="C157" s="138" t="s">
        <v>377</v>
      </c>
      <c r="D157" s="90" t="s">
        <v>65</v>
      </c>
      <c r="E157" s="90" t="s">
        <v>142</v>
      </c>
      <c r="F157" s="90">
        <v>47121600</v>
      </c>
      <c r="G157" s="87" t="s">
        <v>432</v>
      </c>
      <c r="H157" s="88">
        <v>1</v>
      </c>
      <c r="I157" s="88">
        <v>1</v>
      </c>
      <c r="J157" s="88">
        <v>3</v>
      </c>
      <c r="K157" s="72">
        <v>1</v>
      </c>
      <c r="L157" s="7" t="s">
        <v>182</v>
      </c>
      <c r="M157" s="88" t="s">
        <v>46</v>
      </c>
      <c r="N157" s="95">
        <v>746435</v>
      </c>
      <c r="O157" s="90">
        <v>1</v>
      </c>
      <c r="P157" s="90">
        <v>3</v>
      </c>
      <c r="Q157" s="90" t="s">
        <v>47</v>
      </c>
      <c r="R157" s="90" t="s">
        <v>48</v>
      </c>
      <c r="S157" s="87" t="s">
        <v>144</v>
      </c>
      <c r="T157" s="88">
        <v>3846666</v>
      </c>
      <c r="U157" s="93" t="s">
        <v>145</v>
      </c>
      <c r="V157" s="90" t="s">
        <v>313</v>
      </c>
      <c r="W157" s="75" t="s">
        <v>85</v>
      </c>
      <c r="X157" s="87" t="s">
        <v>146</v>
      </c>
      <c r="Y157" s="90"/>
      <c r="Z157" s="90"/>
      <c r="AA157" s="236"/>
      <c r="AB157" s="8">
        <f t="shared" si="28"/>
        <v>746435</v>
      </c>
      <c r="AC157" s="174">
        <v>1121</v>
      </c>
      <c r="AD157" s="175">
        <v>746435</v>
      </c>
      <c r="AE157" s="175">
        <f t="shared" si="33"/>
        <v>0</v>
      </c>
      <c r="AF157" s="259">
        <v>521</v>
      </c>
      <c r="AG157" s="260">
        <v>44214</v>
      </c>
      <c r="AH157" s="261">
        <v>746435</v>
      </c>
      <c r="AI157" s="261">
        <f t="shared" si="34"/>
        <v>0</v>
      </c>
      <c r="AJ157" s="259" t="s">
        <v>433</v>
      </c>
      <c r="AK157" s="259" t="s">
        <v>434</v>
      </c>
      <c r="AL157" s="309">
        <f>238507.4+238507.4+238507.4</f>
        <v>715522.2</v>
      </c>
      <c r="AM157" s="90"/>
      <c r="AN157" s="252"/>
    </row>
    <row r="158" spans="1:42" s="89" customFormat="1" ht="26.25" customHeight="1" x14ac:dyDescent="0.3">
      <c r="A158" s="94" t="s">
        <v>416</v>
      </c>
      <c r="B158" s="90" t="s">
        <v>65</v>
      </c>
      <c r="C158" s="138" t="s">
        <v>377</v>
      </c>
      <c r="D158" s="90" t="s">
        <v>65</v>
      </c>
      <c r="E158" s="90" t="s">
        <v>142</v>
      </c>
      <c r="F158" s="90">
        <v>47121600</v>
      </c>
      <c r="G158" s="231" t="s">
        <v>431</v>
      </c>
      <c r="H158" s="88">
        <v>2</v>
      </c>
      <c r="I158" s="88">
        <v>3</v>
      </c>
      <c r="J158" s="88">
        <v>9</v>
      </c>
      <c r="K158" s="72">
        <v>1</v>
      </c>
      <c r="L158" s="7" t="s">
        <v>182</v>
      </c>
      <c r="M158" s="88" t="s">
        <v>119</v>
      </c>
      <c r="N158" s="95">
        <v>0</v>
      </c>
      <c r="O158" s="90">
        <v>0</v>
      </c>
      <c r="P158" s="90">
        <v>0</v>
      </c>
      <c r="Q158" s="90" t="s">
        <v>47</v>
      </c>
      <c r="R158" s="90" t="s">
        <v>48</v>
      </c>
      <c r="S158" s="87" t="s">
        <v>144</v>
      </c>
      <c r="T158" s="88">
        <v>3846666</v>
      </c>
      <c r="U158" s="93" t="s">
        <v>145</v>
      </c>
      <c r="V158" s="90" t="s">
        <v>313</v>
      </c>
      <c r="W158" s="75" t="s">
        <v>85</v>
      </c>
      <c r="X158" s="87" t="s">
        <v>146</v>
      </c>
      <c r="Y158" s="173">
        <v>12998.1</v>
      </c>
      <c r="Z158" s="90"/>
      <c r="AA158" s="236"/>
      <c r="AB158" s="8">
        <f t="shared" si="28"/>
        <v>12998.1</v>
      </c>
      <c r="AC158" s="174">
        <v>7621</v>
      </c>
      <c r="AD158" s="175">
        <v>12998.1</v>
      </c>
      <c r="AE158" s="175">
        <f>+AB158-AD158</f>
        <v>0</v>
      </c>
      <c r="AF158" s="264">
        <v>8321</v>
      </c>
      <c r="AG158" s="260">
        <v>44281</v>
      </c>
      <c r="AH158" s="261">
        <v>12998.1</v>
      </c>
      <c r="AI158" s="261">
        <f t="shared" si="34"/>
        <v>0</v>
      </c>
      <c r="AJ158" s="259" t="s">
        <v>317</v>
      </c>
      <c r="AK158" s="259" t="s">
        <v>318</v>
      </c>
      <c r="AL158" s="306"/>
      <c r="AM158" s="90" t="s">
        <v>127</v>
      </c>
      <c r="AN158" s="252"/>
    </row>
    <row r="159" spans="1:42" s="89" customFormat="1" ht="26.25" customHeight="1" x14ac:dyDescent="0.3">
      <c r="A159" s="94" t="s">
        <v>435</v>
      </c>
      <c r="B159" s="90" t="s">
        <v>65</v>
      </c>
      <c r="C159" s="138" t="s">
        <v>377</v>
      </c>
      <c r="D159" s="90" t="s">
        <v>65</v>
      </c>
      <c r="E159" s="90" t="s">
        <v>142</v>
      </c>
      <c r="F159" s="90">
        <v>78181500</v>
      </c>
      <c r="G159" s="87" t="s">
        <v>436</v>
      </c>
      <c r="H159" s="88">
        <v>6</v>
      </c>
      <c r="I159" s="88">
        <v>6</v>
      </c>
      <c r="J159" s="88">
        <v>6</v>
      </c>
      <c r="K159" s="72">
        <v>1</v>
      </c>
      <c r="L159" s="7" t="s">
        <v>182</v>
      </c>
      <c r="M159" s="88" t="s">
        <v>119</v>
      </c>
      <c r="N159" s="95">
        <v>8000000</v>
      </c>
      <c r="O159" s="7">
        <v>0</v>
      </c>
      <c r="P159" s="7">
        <v>0</v>
      </c>
      <c r="Q159" s="90" t="s">
        <v>47</v>
      </c>
      <c r="R159" s="90" t="s">
        <v>48</v>
      </c>
      <c r="S159" s="87" t="s">
        <v>144</v>
      </c>
      <c r="T159" s="88">
        <v>3846666</v>
      </c>
      <c r="U159" s="93" t="s">
        <v>145</v>
      </c>
      <c r="V159" s="90" t="s">
        <v>313</v>
      </c>
      <c r="W159" s="75" t="s">
        <v>85</v>
      </c>
      <c r="X159" s="87" t="s">
        <v>146</v>
      </c>
      <c r="Y159" s="90"/>
      <c r="Z159" s="90"/>
      <c r="AA159" s="236"/>
      <c r="AB159" s="237">
        <f t="shared" si="28"/>
        <v>8000000</v>
      </c>
      <c r="AC159" s="174">
        <v>18421</v>
      </c>
      <c r="AD159" s="175">
        <v>8000000</v>
      </c>
      <c r="AE159" s="175">
        <f t="shared" si="33"/>
        <v>0</v>
      </c>
      <c r="AF159" s="259">
        <v>21521</v>
      </c>
      <c r="AG159" s="260">
        <v>44468</v>
      </c>
      <c r="AH159" s="261">
        <v>8000000</v>
      </c>
      <c r="AI159" s="261">
        <f t="shared" si="34"/>
        <v>0</v>
      </c>
      <c r="AJ159" s="259" t="s">
        <v>918</v>
      </c>
      <c r="AK159" s="259" t="s">
        <v>917</v>
      </c>
      <c r="AL159" s="309">
        <f>874201.37+1421470.47</f>
        <v>2295671.84</v>
      </c>
      <c r="AM159" s="232"/>
      <c r="AN159" s="252"/>
    </row>
    <row r="160" spans="1:42" s="89" customFormat="1" ht="26.25" customHeight="1" x14ac:dyDescent="0.3">
      <c r="A160" s="94" t="s">
        <v>435</v>
      </c>
      <c r="B160" s="90" t="s">
        <v>65</v>
      </c>
      <c r="C160" s="138" t="s">
        <v>377</v>
      </c>
      <c r="D160" s="90" t="s">
        <v>65</v>
      </c>
      <c r="E160" s="90" t="s">
        <v>142</v>
      </c>
      <c r="F160" s="90" t="s">
        <v>437</v>
      </c>
      <c r="G160" s="87" t="s">
        <v>438</v>
      </c>
      <c r="H160" s="88">
        <v>4</v>
      </c>
      <c r="I160" s="88">
        <v>4</v>
      </c>
      <c r="J160" s="88">
        <v>8</v>
      </c>
      <c r="K160" s="72">
        <v>1</v>
      </c>
      <c r="L160" s="7" t="s">
        <v>182</v>
      </c>
      <c r="M160" s="88" t="s">
        <v>119</v>
      </c>
      <c r="N160" s="95">
        <v>6000000</v>
      </c>
      <c r="O160" s="7">
        <v>0</v>
      </c>
      <c r="P160" s="7">
        <v>0</v>
      </c>
      <c r="Q160" s="90" t="s">
        <v>47</v>
      </c>
      <c r="R160" s="90" t="s">
        <v>48</v>
      </c>
      <c r="S160" s="87" t="s">
        <v>144</v>
      </c>
      <c r="T160" s="88">
        <v>3846666</v>
      </c>
      <c r="U160" s="93" t="s">
        <v>145</v>
      </c>
      <c r="V160" s="90" t="s">
        <v>313</v>
      </c>
      <c r="W160" s="75" t="s">
        <v>85</v>
      </c>
      <c r="X160" s="87" t="s">
        <v>146</v>
      </c>
      <c r="Y160" s="90"/>
      <c r="Z160" s="90"/>
      <c r="AA160" s="236"/>
      <c r="AB160" s="8">
        <f t="shared" si="28"/>
        <v>6000000</v>
      </c>
      <c r="AC160" s="174">
        <v>6621</v>
      </c>
      <c r="AD160" s="175">
        <v>6000000</v>
      </c>
      <c r="AE160" s="175">
        <f t="shared" si="33"/>
        <v>0</v>
      </c>
      <c r="AF160" s="259">
        <v>8621</v>
      </c>
      <c r="AG160" s="260">
        <v>44284</v>
      </c>
      <c r="AH160" s="261">
        <v>6000000</v>
      </c>
      <c r="AI160" s="261">
        <f t="shared" si="34"/>
        <v>0</v>
      </c>
      <c r="AJ160" s="259" t="s">
        <v>439</v>
      </c>
      <c r="AK160" s="259" t="s">
        <v>440</v>
      </c>
      <c r="AL160" s="309">
        <f>183500+1229190+183500+183500+183500+1551524+183500+1271300.42+1030485.58</f>
        <v>6000000</v>
      </c>
      <c r="AM160" s="90"/>
      <c r="AN160" s="252"/>
    </row>
    <row r="161" spans="1:40" s="89" customFormat="1" ht="26.25" customHeight="1" x14ac:dyDescent="0.3">
      <c r="A161" s="94" t="s">
        <v>435</v>
      </c>
      <c r="B161" s="90" t="s">
        <v>65</v>
      </c>
      <c r="C161" s="138" t="s">
        <v>377</v>
      </c>
      <c r="D161" s="90" t="s">
        <v>65</v>
      </c>
      <c r="E161" s="90" t="s">
        <v>142</v>
      </c>
      <c r="F161" s="90" t="s">
        <v>441</v>
      </c>
      <c r="G161" s="87" t="s">
        <v>442</v>
      </c>
      <c r="H161" s="88">
        <v>10</v>
      </c>
      <c r="I161" s="88">
        <v>11</v>
      </c>
      <c r="J161" s="88">
        <v>1</v>
      </c>
      <c r="K161" s="72">
        <v>1</v>
      </c>
      <c r="L161" s="7" t="s">
        <v>182</v>
      </c>
      <c r="M161" s="88" t="s">
        <v>119</v>
      </c>
      <c r="N161" s="95">
        <v>1000000</v>
      </c>
      <c r="O161" s="7">
        <v>0</v>
      </c>
      <c r="P161" s="7">
        <v>0</v>
      </c>
      <c r="Q161" s="90" t="s">
        <v>47</v>
      </c>
      <c r="R161" s="90" t="s">
        <v>48</v>
      </c>
      <c r="S161" s="87" t="s">
        <v>144</v>
      </c>
      <c r="T161" s="88">
        <v>3846666</v>
      </c>
      <c r="U161" s="93" t="s">
        <v>145</v>
      </c>
      <c r="V161" s="90" t="s">
        <v>313</v>
      </c>
      <c r="W161" s="75" t="s">
        <v>85</v>
      </c>
      <c r="X161" s="87" t="s">
        <v>146</v>
      </c>
      <c r="Y161" s="90"/>
      <c r="Z161" s="90"/>
      <c r="AA161" s="236">
        <v>270132</v>
      </c>
      <c r="AB161" s="8">
        <f t="shared" ref="AB161:AB184" si="35">+N161+Y161+Z161-AA161</f>
        <v>729868</v>
      </c>
      <c r="AC161" s="174">
        <v>16921</v>
      </c>
      <c r="AD161" s="175">
        <f>729868-134868</f>
        <v>595000</v>
      </c>
      <c r="AE161" s="181">
        <f t="shared" si="33"/>
        <v>134868</v>
      </c>
      <c r="AF161" s="259">
        <v>21821</v>
      </c>
      <c r="AG161" s="260">
        <v>44469</v>
      </c>
      <c r="AH161" s="261">
        <v>595000</v>
      </c>
      <c r="AI161" s="261">
        <f t="shared" si="34"/>
        <v>134868</v>
      </c>
      <c r="AJ161" s="261" t="s">
        <v>922</v>
      </c>
      <c r="AK161" s="261" t="s">
        <v>921</v>
      </c>
      <c r="AL161" s="309">
        <v>595000</v>
      </c>
      <c r="AM161" s="232" t="s">
        <v>798</v>
      </c>
      <c r="AN161" s="252"/>
    </row>
    <row r="162" spans="1:40" s="89" customFormat="1" ht="26.25" customHeight="1" x14ac:dyDescent="0.3">
      <c r="A162" s="94" t="s">
        <v>435</v>
      </c>
      <c r="B162" s="90" t="s">
        <v>65</v>
      </c>
      <c r="C162" s="138" t="s">
        <v>377</v>
      </c>
      <c r="D162" s="90" t="s">
        <v>65</v>
      </c>
      <c r="E162" s="90" t="s">
        <v>142</v>
      </c>
      <c r="F162" s="90">
        <v>72101511</v>
      </c>
      <c r="G162" s="87" t="s">
        <v>443</v>
      </c>
      <c r="H162" s="88">
        <v>3</v>
      </c>
      <c r="I162" s="88">
        <v>3</v>
      </c>
      <c r="J162" s="88">
        <v>9</v>
      </c>
      <c r="K162" s="72">
        <v>1</v>
      </c>
      <c r="L162" s="7" t="s">
        <v>182</v>
      </c>
      <c r="M162" s="88" t="s">
        <v>119</v>
      </c>
      <c r="N162" s="95">
        <v>5000000</v>
      </c>
      <c r="O162" s="7">
        <v>0</v>
      </c>
      <c r="P162" s="7">
        <v>0</v>
      </c>
      <c r="Q162" s="90" t="s">
        <v>47</v>
      </c>
      <c r="R162" s="90" t="s">
        <v>48</v>
      </c>
      <c r="S162" s="87" t="s">
        <v>144</v>
      </c>
      <c r="T162" s="88">
        <v>3846666</v>
      </c>
      <c r="U162" s="93" t="s">
        <v>145</v>
      </c>
      <c r="V162" s="90" t="s">
        <v>313</v>
      </c>
      <c r="W162" s="75" t="s">
        <v>85</v>
      </c>
      <c r="X162" s="87" t="s">
        <v>146</v>
      </c>
      <c r="Y162" s="90"/>
      <c r="Z162" s="90"/>
      <c r="AA162" s="236"/>
      <c r="AB162" s="8">
        <f t="shared" si="35"/>
        <v>5000000</v>
      </c>
      <c r="AC162" s="174">
        <v>8521</v>
      </c>
      <c r="AD162" s="175">
        <v>5000000</v>
      </c>
      <c r="AE162" s="175">
        <f t="shared" si="33"/>
        <v>0</v>
      </c>
      <c r="AF162" s="259">
        <v>16721</v>
      </c>
      <c r="AG162" s="260">
        <v>44420</v>
      </c>
      <c r="AH162" s="261">
        <v>5000000</v>
      </c>
      <c r="AI162" s="261">
        <f t="shared" si="34"/>
        <v>0</v>
      </c>
      <c r="AJ162" s="259" t="s">
        <v>857</v>
      </c>
      <c r="AK162" s="259" t="s">
        <v>452</v>
      </c>
      <c r="AL162" s="309">
        <v>1963498</v>
      </c>
      <c r="AM162" s="90"/>
      <c r="AN162" s="252"/>
    </row>
    <row r="163" spans="1:40" s="89" customFormat="1" ht="26.25" customHeight="1" x14ac:dyDescent="0.3">
      <c r="A163" s="94" t="s">
        <v>435</v>
      </c>
      <c r="B163" s="90" t="s">
        <v>65</v>
      </c>
      <c r="C163" s="138" t="s">
        <v>377</v>
      </c>
      <c r="D163" s="90" t="s">
        <v>65</v>
      </c>
      <c r="E163" s="90" t="s">
        <v>142</v>
      </c>
      <c r="F163" s="90">
        <v>72101509</v>
      </c>
      <c r="G163" s="87" t="s">
        <v>444</v>
      </c>
      <c r="H163" s="88">
        <v>10</v>
      </c>
      <c r="I163" s="88">
        <v>11</v>
      </c>
      <c r="J163" s="88">
        <v>1</v>
      </c>
      <c r="K163" s="72">
        <v>1</v>
      </c>
      <c r="L163" s="7" t="s">
        <v>182</v>
      </c>
      <c r="M163" s="88" t="s">
        <v>119</v>
      </c>
      <c r="N163" s="95">
        <v>7000000</v>
      </c>
      <c r="O163" s="7">
        <v>0</v>
      </c>
      <c r="P163" s="7">
        <v>0</v>
      </c>
      <c r="Q163" s="90" t="s">
        <v>47</v>
      </c>
      <c r="R163" s="90" t="s">
        <v>48</v>
      </c>
      <c r="S163" s="87" t="s">
        <v>144</v>
      </c>
      <c r="T163" s="88">
        <v>3846666</v>
      </c>
      <c r="U163" s="93" t="s">
        <v>145</v>
      </c>
      <c r="V163" s="90" t="s">
        <v>313</v>
      </c>
      <c r="W163" s="75" t="s">
        <v>85</v>
      </c>
      <c r="X163" s="87" t="s">
        <v>146</v>
      </c>
      <c r="Y163" s="90"/>
      <c r="Z163" s="90"/>
      <c r="AA163" s="236">
        <v>4259144</v>
      </c>
      <c r="AB163" s="8">
        <f t="shared" si="35"/>
        <v>2740856</v>
      </c>
      <c r="AC163" s="174">
        <v>18521</v>
      </c>
      <c r="AD163" s="175">
        <f>2740856-1194768</f>
        <v>1546088</v>
      </c>
      <c r="AE163" s="175">
        <f t="shared" si="33"/>
        <v>1194768</v>
      </c>
      <c r="AF163" s="259">
        <v>21221</v>
      </c>
      <c r="AG163" s="260">
        <v>44467</v>
      </c>
      <c r="AH163" s="261">
        <v>1546088</v>
      </c>
      <c r="AI163" s="261">
        <f t="shared" si="34"/>
        <v>1194768</v>
      </c>
      <c r="AJ163" s="259" t="s">
        <v>912</v>
      </c>
      <c r="AK163" s="259" t="s">
        <v>911</v>
      </c>
      <c r="AL163" s="309">
        <v>1546088</v>
      </c>
      <c r="AM163" s="232" t="s">
        <v>798</v>
      </c>
      <c r="AN163" s="252"/>
    </row>
    <row r="164" spans="1:40" s="89" customFormat="1" ht="26.25" customHeight="1" x14ac:dyDescent="0.3">
      <c r="A164" s="94" t="s">
        <v>435</v>
      </c>
      <c r="B164" s="90" t="s">
        <v>65</v>
      </c>
      <c r="C164" s="138" t="s">
        <v>377</v>
      </c>
      <c r="D164" s="90" t="s">
        <v>65</v>
      </c>
      <c r="E164" s="90" t="s">
        <v>142</v>
      </c>
      <c r="F164" s="90" t="s">
        <v>65</v>
      </c>
      <c r="G164" s="87" t="s">
        <v>445</v>
      </c>
      <c r="H164" s="88" t="s">
        <v>65</v>
      </c>
      <c r="I164" s="88" t="s">
        <v>65</v>
      </c>
      <c r="J164" s="88" t="s">
        <v>65</v>
      </c>
      <c r="K164" s="88" t="s">
        <v>65</v>
      </c>
      <c r="L164" s="90" t="s">
        <v>67</v>
      </c>
      <c r="M164" s="88" t="s">
        <v>46</v>
      </c>
      <c r="N164" s="95">
        <f>350000*11</f>
        <v>3850000</v>
      </c>
      <c r="O164" s="7">
        <v>0</v>
      </c>
      <c r="P164" s="7">
        <v>0</v>
      </c>
      <c r="Q164" s="90" t="s">
        <v>47</v>
      </c>
      <c r="R164" s="90" t="s">
        <v>48</v>
      </c>
      <c r="S164" s="87" t="s">
        <v>144</v>
      </c>
      <c r="T164" s="88">
        <v>3846666</v>
      </c>
      <c r="U164" s="93" t="s">
        <v>145</v>
      </c>
      <c r="V164" s="90" t="s">
        <v>313</v>
      </c>
      <c r="W164" s="75" t="s">
        <v>322</v>
      </c>
      <c r="X164" s="87" t="s">
        <v>146</v>
      </c>
      <c r="Y164" s="90"/>
      <c r="Z164" s="90"/>
      <c r="AA164" s="236">
        <v>487690</v>
      </c>
      <c r="AB164" s="8">
        <f t="shared" si="35"/>
        <v>3362310</v>
      </c>
      <c r="AC164" s="174" t="s">
        <v>1004</v>
      </c>
      <c r="AD164" s="175">
        <f>350000+321300+328440+323680+323680+342720+322490+324170+275000-275000+275000+335000-1.96</f>
        <v>3246478.04</v>
      </c>
      <c r="AE164" s="175">
        <f t="shared" si="33"/>
        <v>115831.95999999996</v>
      </c>
      <c r="AF164" s="259" t="s">
        <v>1007</v>
      </c>
      <c r="AG164" s="260" t="s">
        <v>1008</v>
      </c>
      <c r="AH164" s="261">
        <f>350000+321300+328440+323680+323680+342720+322490+324170+275000-275000+275000+335000-1.96</f>
        <v>3246478.04</v>
      </c>
      <c r="AI164" s="261">
        <f t="shared" si="34"/>
        <v>115831.95999999996</v>
      </c>
      <c r="AJ164" s="259" t="s">
        <v>1009</v>
      </c>
      <c r="AK164" s="259" t="s">
        <v>322</v>
      </c>
      <c r="AL164" s="309">
        <f>350000+321300+328440+323680+323680+342720+322490+324170+275000-275000+275000+335000-1.96</f>
        <v>3246478.04</v>
      </c>
      <c r="AM164" s="90" t="s">
        <v>798</v>
      </c>
      <c r="AN164" s="252"/>
    </row>
    <row r="165" spans="1:40" s="89" customFormat="1" ht="26.25" customHeight="1" x14ac:dyDescent="0.3">
      <c r="A165" s="94" t="s">
        <v>435</v>
      </c>
      <c r="B165" s="90" t="s">
        <v>65</v>
      </c>
      <c r="C165" s="138" t="s">
        <v>377</v>
      </c>
      <c r="D165" s="90" t="s">
        <v>65</v>
      </c>
      <c r="E165" s="90" t="s">
        <v>142</v>
      </c>
      <c r="F165" s="90" t="s">
        <v>446</v>
      </c>
      <c r="G165" s="87" t="s">
        <v>447</v>
      </c>
      <c r="H165" s="88">
        <v>2</v>
      </c>
      <c r="I165" s="88">
        <v>2</v>
      </c>
      <c r="J165" s="88">
        <v>10</v>
      </c>
      <c r="K165" s="72">
        <v>1</v>
      </c>
      <c r="L165" s="7" t="s">
        <v>182</v>
      </c>
      <c r="M165" s="88" t="s">
        <v>119</v>
      </c>
      <c r="N165" s="95">
        <v>3000000</v>
      </c>
      <c r="O165" s="7">
        <v>0</v>
      </c>
      <c r="P165" s="7">
        <v>0</v>
      </c>
      <c r="Q165" s="90" t="s">
        <v>47</v>
      </c>
      <c r="R165" s="90" t="s">
        <v>48</v>
      </c>
      <c r="S165" s="87" t="s">
        <v>144</v>
      </c>
      <c r="T165" s="88">
        <v>3846666</v>
      </c>
      <c r="U165" s="93" t="s">
        <v>145</v>
      </c>
      <c r="V165" s="90" t="s">
        <v>313</v>
      </c>
      <c r="W165" s="75" t="s">
        <v>85</v>
      </c>
      <c r="X165" s="87" t="s">
        <v>146</v>
      </c>
      <c r="Y165" s="90"/>
      <c r="Z165" s="90"/>
      <c r="AA165" s="236"/>
      <c r="AB165" s="8">
        <f t="shared" si="35"/>
        <v>3000000</v>
      </c>
      <c r="AC165" s="174">
        <v>16021</v>
      </c>
      <c r="AD165" s="175">
        <v>3000000</v>
      </c>
      <c r="AE165" s="175">
        <f t="shared" si="33"/>
        <v>0</v>
      </c>
      <c r="AF165" s="259">
        <v>19621</v>
      </c>
      <c r="AG165" s="260">
        <v>44448</v>
      </c>
      <c r="AH165" s="261">
        <v>3000000</v>
      </c>
      <c r="AI165" s="261">
        <f t="shared" si="34"/>
        <v>0</v>
      </c>
      <c r="AJ165" s="259" t="s">
        <v>891</v>
      </c>
      <c r="AK165" s="259" t="s">
        <v>890</v>
      </c>
      <c r="AL165" s="309">
        <f>2159000+841000</f>
        <v>3000000</v>
      </c>
      <c r="AM165" s="232"/>
      <c r="AN165" s="252"/>
    </row>
    <row r="166" spans="1:40" s="89" customFormat="1" ht="26.25" customHeight="1" x14ac:dyDescent="0.3">
      <c r="A166" s="94" t="s">
        <v>379</v>
      </c>
      <c r="B166" s="90" t="s">
        <v>65</v>
      </c>
      <c r="C166" s="138" t="s">
        <v>377</v>
      </c>
      <c r="D166" s="90" t="s">
        <v>65</v>
      </c>
      <c r="E166" s="90" t="s">
        <v>142</v>
      </c>
      <c r="F166" s="90">
        <v>80111600</v>
      </c>
      <c r="G166" s="87" t="s">
        <v>902</v>
      </c>
      <c r="H166" s="88">
        <v>11</v>
      </c>
      <c r="I166" s="88">
        <v>11</v>
      </c>
      <c r="J166" s="88">
        <v>2</v>
      </c>
      <c r="K166" s="72">
        <v>1</v>
      </c>
      <c r="L166" s="7" t="s">
        <v>45</v>
      </c>
      <c r="M166" s="88" t="s">
        <v>119</v>
      </c>
      <c r="N166" s="95">
        <v>0</v>
      </c>
      <c r="O166" s="7">
        <v>0</v>
      </c>
      <c r="P166" s="7">
        <v>0</v>
      </c>
      <c r="Q166" s="90" t="s">
        <v>47</v>
      </c>
      <c r="R166" s="90" t="s">
        <v>48</v>
      </c>
      <c r="S166" s="87" t="s">
        <v>144</v>
      </c>
      <c r="T166" s="88">
        <v>3846666</v>
      </c>
      <c r="U166" s="93" t="s">
        <v>145</v>
      </c>
      <c r="V166" s="90" t="s">
        <v>313</v>
      </c>
      <c r="W166" s="75" t="s">
        <v>52</v>
      </c>
      <c r="X166" s="87" t="s">
        <v>146</v>
      </c>
      <c r="Y166" s="235">
        <v>3000000</v>
      </c>
      <c r="Z166" s="90"/>
      <c r="AA166" s="304">
        <v>1368601</v>
      </c>
      <c r="AB166" s="8">
        <f t="shared" si="35"/>
        <v>1631399</v>
      </c>
      <c r="AC166" s="232"/>
      <c r="AD166" s="233"/>
      <c r="AE166" s="233">
        <f t="shared" si="33"/>
        <v>1631399</v>
      </c>
      <c r="AF166" s="232"/>
      <c r="AG166" s="282"/>
      <c r="AH166" s="233"/>
      <c r="AI166" s="233">
        <f t="shared" si="34"/>
        <v>1631399</v>
      </c>
      <c r="AJ166" s="232"/>
      <c r="AK166" s="232"/>
      <c r="AL166" s="306"/>
      <c r="AM166" s="232" t="s">
        <v>946</v>
      </c>
      <c r="AN166" s="252"/>
    </row>
    <row r="167" spans="1:40" s="89" customFormat="1" ht="26.25" customHeight="1" x14ac:dyDescent="0.3">
      <c r="A167" s="104" t="s">
        <v>435</v>
      </c>
      <c r="B167" s="90" t="s">
        <v>65</v>
      </c>
      <c r="C167" s="138" t="s">
        <v>377</v>
      </c>
      <c r="D167" s="90" t="s">
        <v>65</v>
      </c>
      <c r="E167" s="90" t="s">
        <v>261</v>
      </c>
      <c r="F167" s="87" t="s">
        <v>448</v>
      </c>
      <c r="G167" s="231" t="s">
        <v>449</v>
      </c>
      <c r="H167" s="88">
        <v>6</v>
      </c>
      <c r="I167" s="88">
        <v>6</v>
      </c>
      <c r="J167" s="88">
        <v>1</v>
      </c>
      <c r="K167" s="72">
        <v>1</v>
      </c>
      <c r="L167" s="7" t="s">
        <v>182</v>
      </c>
      <c r="M167" s="88" t="s">
        <v>119</v>
      </c>
      <c r="N167" s="117">
        <f>14500000-4500000</f>
        <v>10000000</v>
      </c>
      <c r="O167" s="7">
        <v>0</v>
      </c>
      <c r="P167" s="7">
        <v>0</v>
      </c>
      <c r="Q167" s="90" t="s">
        <v>47</v>
      </c>
      <c r="R167" s="90" t="s">
        <v>48</v>
      </c>
      <c r="S167" s="87" t="s">
        <v>247</v>
      </c>
      <c r="T167" s="87">
        <v>3846666</v>
      </c>
      <c r="U167" s="93" t="s">
        <v>248</v>
      </c>
      <c r="V167" s="90" t="s">
        <v>313</v>
      </c>
      <c r="W167" s="88" t="s">
        <v>85</v>
      </c>
      <c r="X167" s="87" t="s">
        <v>450</v>
      </c>
      <c r="Y167" s="90"/>
      <c r="Z167" s="90"/>
      <c r="AA167" s="236">
        <v>6000000</v>
      </c>
      <c r="AB167" s="8">
        <f t="shared" si="35"/>
        <v>4000000</v>
      </c>
      <c r="AC167" s="174">
        <v>8621</v>
      </c>
      <c r="AD167" s="175">
        <f>9511075-5511075.04</f>
        <v>3999999.96</v>
      </c>
      <c r="AE167" s="175">
        <f t="shared" si="33"/>
        <v>4.0000000037252903E-2</v>
      </c>
      <c r="AF167" s="259">
        <v>10421</v>
      </c>
      <c r="AG167" s="260">
        <v>44316</v>
      </c>
      <c r="AH167" s="261">
        <f>9511075-5511075.04</f>
        <v>3999999.96</v>
      </c>
      <c r="AI167" s="261">
        <f t="shared" si="34"/>
        <v>4.0000000037252903E-2</v>
      </c>
      <c r="AJ167" s="259" t="s">
        <v>451</v>
      </c>
      <c r="AK167" s="259" t="s">
        <v>452</v>
      </c>
      <c r="AL167" s="309">
        <v>3999999.96</v>
      </c>
      <c r="AM167" s="90" t="s">
        <v>62</v>
      </c>
      <c r="AN167" s="252"/>
    </row>
    <row r="168" spans="1:40" s="89" customFormat="1" ht="26.25" customHeight="1" x14ac:dyDescent="0.3">
      <c r="A168" s="104" t="s">
        <v>435</v>
      </c>
      <c r="B168" s="90" t="s">
        <v>65</v>
      </c>
      <c r="C168" s="138" t="s">
        <v>377</v>
      </c>
      <c r="D168" s="90" t="s">
        <v>65</v>
      </c>
      <c r="E168" s="90" t="s">
        <v>261</v>
      </c>
      <c r="F168" s="87">
        <v>81112306</v>
      </c>
      <c r="G168" s="87" t="s">
        <v>453</v>
      </c>
      <c r="H168" s="88">
        <v>6</v>
      </c>
      <c r="I168" s="88">
        <v>6</v>
      </c>
      <c r="J168" s="88">
        <v>1</v>
      </c>
      <c r="K168" s="72">
        <v>1</v>
      </c>
      <c r="L168" s="7" t="s">
        <v>182</v>
      </c>
      <c r="M168" s="88" t="s">
        <v>119</v>
      </c>
      <c r="N168" s="117">
        <f>7500000-2500000</f>
        <v>5000000</v>
      </c>
      <c r="O168" s="7">
        <v>0</v>
      </c>
      <c r="P168" s="7">
        <v>0</v>
      </c>
      <c r="Q168" s="90" t="s">
        <v>47</v>
      </c>
      <c r="R168" s="90" t="s">
        <v>48</v>
      </c>
      <c r="S168" s="87" t="s">
        <v>247</v>
      </c>
      <c r="T168" s="87">
        <v>3846666</v>
      </c>
      <c r="U168" s="93" t="s">
        <v>248</v>
      </c>
      <c r="V168" s="90" t="s">
        <v>313</v>
      </c>
      <c r="W168" s="88" t="s">
        <v>85</v>
      </c>
      <c r="X168" s="87" t="s">
        <v>450</v>
      </c>
      <c r="Y168" s="90"/>
      <c r="Z168" s="235">
        <v>3000000</v>
      </c>
      <c r="AA168" s="236"/>
      <c r="AB168" s="8">
        <f t="shared" si="35"/>
        <v>8000000</v>
      </c>
      <c r="AC168" s="174">
        <v>9821</v>
      </c>
      <c r="AD168" s="175">
        <v>6682025</v>
      </c>
      <c r="AE168" s="181">
        <f t="shared" si="33"/>
        <v>1317975</v>
      </c>
      <c r="AF168" s="259">
        <v>12821</v>
      </c>
      <c r="AG168" s="259" t="s">
        <v>147</v>
      </c>
      <c r="AH168" s="261">
        <v>6682025</v>
      </c>
      <c r="AI168" s="261">
        <f t="shared" si="34"/>
        <v>1317975</v>
      </c>
      <c r="AJ168" s="259" t="s">
        <v>454</v>
      </c>
      <c r="AK168" s="259" t="s">
        <v>455</v>
      </c>
      <c r="AL168" s="309">
        <f>2976000+2060000+1646025</f>
        <v>6682025</v>
      </c>
      <c r="AM168" s="90" t="s">
        <v>62</v>
      </c>
      <c r="AN168" s="252"/>
    </row>
    <row r="169" spans="1:40" s="89" customFormat="1" ht="26.25" customHeight="1" x14ac:dyDescent="0.3">
      <c r="A169" s="104" t="s">
        <v>435</v>
      </c>
      <c r="B169" s="90" t="s">
        <v>65</v>
      </c>
      <c r="C169" s="138" t="s">
        <v>377</v>
      </c>
      <c r="D169" s="90" t="s">
        <v>65</v>
      </c>
      <c r="E169" s="90" t="s">
        <v>261</v>
      </c>
      <c r="F169" s="87">
        <v>44103125</v>
      </c>
      <c r="G169" s="87" t="s">
        <v>456</v>
      </c>
      <c r="H169" s="88">
        <v>6</v>
      </c>
      <c r="I169" s="88">
        <v>6</v>
      </c>
      <c r="J169" s="88">
        <v>1</v>
      </c>
      <c r="K169" s="72">
        <v>1</v>
      </c>
      <c r="L169" s="7" t="s">
        <v>182</v>
      </c>
      <c r="M169" s="88" t="s">
        <v>119</v>
      </c>
      <c r="N169" s="117">
        <f>7500000-2500000</f>
        <v>5000000</v>
      </c>
      <c r="O169" s="7">
        <v>0</v>
      </c>
      <c r="P169" s="7">
        <v>0</v>
      </c>
      <c r="Q169" s="90" t="s">
        <v>47</v>
      </c>
      <c r="R169" s="90" t="s">
        <v>48</v>
      </c>
      <c r="S169" s="87" t="s">
        <v>247</v>
      </c>
      <c r="T169" s="87">
        <v>3846666</v>
      </c>
      <c r="U169" s="93" t="s">
        <v>248</v>
      </c>
      <c r="V169" s="90" t="s">
        <v>313</v>
      </c>
      <c r="W169" s="88" t="s">
        <v>85</v>
      </c>
      <c r="X169" s="87" t="s">
        <v>450</v>
      </c>
      <c r="Y169" s="90"/>
      <c r="Z169" s="235">
        <v>3000000</v>
      </c>
      <c r="AA169" s="236"/>
      <c r="AB169" s="8">
        <f t="shared" si="35"/>
        <v>8000000</v>
      </c>
      <c r="AC169" s="174">
        <v>9821</v>
      </c>
      <c r="AD169" s="175">
        <f>6941240-585265</f>
        <v>6355975</v>
      </c>
      <c r="AE169" s="181">
        <f t="shared" si="33"/>
        <v>1644025</v>
      </c>
      <c r="AF169" s="259">
        <v>12821</v>
      </c>
      <c r="AG169" s="259" t="s">
        <v>147</v>
      </c>
      <c r="AH169" s="261">
        <f>6941240-585265</f>
        <v>6355975</v>
      </c>
      <c r="AI169" s="261">
        <f t="shared" si="34"/>
        <v>1644025</v>
      </c>
      <c r="AJ169" s="259" t="s">
        <v>454</v>
      </c>
      <c r="AK169" s="259" t="s">
        <v>455</v>
      </c>
      <c r="AL169" s="309">
        <f>2976000+2976000+403975</f>
        <v>6355975</v>
      </c>
      <c r="AM169" s="90" t="s">
        <v>62</v>
      </c>
      <c r="AN169" s="252"/>
    </row>
    <row r="170" spans="1:40" s="89" customFormat="1" ht="26.25" customHeight="1" x14ac:dyDescent="0.3">
      <c r="A170" s="94" t="s">
        <v>457</v>
      </c>
      <c r="B170" s="90" t="s">
        <v>65</v>
      </c>
      <c r="C170" s="140" t="s">
        <v>458</v>
      </c>
      <c r="D170" s="90" t="s">
        <v>65</v>
      </c>
      <c r="E170" s="90" t="s">
        <v>142</v>
      </c>
      <c r="F170" s="90" t="s">
        <v>65</v>
      </c>
      <c r="G170" s="87" t="s">
        <v>459</v>
      </c>
      <c r="H170" s="88" t="s">
        <v>65</v>
      </c>
      <c r="I170" s="88" t="s">
        <v>65</v>
      </c>
      <c r="J170" s="88" t="s">
        <v>65</v>
      </c>
      <c r="K170" s="88" t="s">
        <v>65</v>
      </c>
      <c r="L170" s="90" t="s">
        <v>67</v>
      </c>
      <c r="M170" s="88" t="s">
        <v>119</v>
      </c>
      <c r="N170" s="95">
        <v>5200000</v>
      </c>
      <c r="O170" s="7">
        <v>0</v>
      </c>
      <c r="P170" s="7">
        <v>0</v>
      </c>
      <c r="Q170" s="90" t="s">
        <v>47</v>
      </c>
      <c r="R170" s="90" t="s">
        <v>48</v>
      </c>
      <c r="S170" s="87" t="s">
        <v>144</v>
      </c>
      <c r="T170" s="88">
        <v>3846666</v>
      </c>
      <c r="U170" s="93" t="s">
        <v>145</v>
      </c>
      <c r="V170" s="90" t="s">
        <v>313</v>
      </c>
      <c r="W170" s="75" t="s">
        <v>85</v>
      </c>
      <c r="X170" s="87" t="s">
        <v>146</v>
      </c>
      <c r="Y170" s="90"/>
      <c r="Z170" s="90"/>
      <c r="AA170" s="236"/>
      <c r="AB170" s="8">
        <f t="shared" si="35"/>
        <v>5200000</v>
      </c>
      <c r="AC170" s="174" t="s">
        <v>1017</v>
      </c>
      <c r="AD170" s="175">
        <f>72670+318950+309502.96+316640+313320+316660+311790+309030+314950+312980+321780+321934</f>
        <v>3540206.96</v>
      </c>
      <c r="AE170" s="175">
        <f t="shared" si="33"/>
        <v>1659793.04</v>
      </c>
      <c r="AF170" s="259" t="s">
        <v>1027</v>
      </c>
      <c r="AG170" s="260" t="s">
        <v>1026</v>
      </c>
      <c r="AH170" s="261">
        <f>72670+318950+309502.96+316640+313320+316660+311790+309030+314950+312980+321780+321934</f>
        <v>3540206.96</v>
      </c>
      <c r="AI170" s="261">
        <f t="shared" si="34"/>
        <v>1659793.04</v>
      </c>
      <c r="AJ170" s="259" t="s">
        <v>363</v>
      </c>
      <c r="AK170" s="259" t="s">
        <v>364</v>
      </c>
      <c r="AL170" s="309">
        <f>72670+318950+309502.96+316640+313320+316660+311790+309030+314950+312980+321780+321934</f>
        <v>3540206.96</v>
      </c>
      <c r="AM170" s="90"/>
      <c r="AN170" s="252"/>
    </row>
    <row r="171" spans="1:40" s="89" customFormat="1" ht="26.25" customHeight="1" x14ac:dyDescent="0.3">
      <c r="A171" s="94" t="s">
        <v>457</v>
      </c>
      <c r="B171" s="90" t="s">
        <v>65</v>
      </c>
      <c r="C171" s="140" t="s">
        <v>458</v>
      </c>
      <c r="D171" s="90" t="s">
        <v>65</v>
      </c>
      <c r="E171" s="90" t="s">
        <v>142</v>
      </c>
      <c r="F171" s="90">
        <v>72102103</v>
      </c>
      <c r="G171" s="231" t="s">
        <v>460</v>
      </c>
      <c r="H171" s="88">
        <v>2</v>
      </c>
      <c r="I171" s="88">
        <v>3</v>
      </c>
      <c r="J171" s="88">
        <v>9</v>
      </c>
      <c r="K171" s="72">
        <v>1</v>
      </c>
      <c r="L171" s="7" t="s">
        <v>182</v>
      </c>
      <c r="M171" s="88" t="s">
        <v>119</v>
      </c>
      <c r="N171" s="95">
        <v>1500000</v>
      </c>
      <c r="O171" s="7">
        <v>0</v>
      </c>
      <c r="P171" s="7">
        <v>0</v>
      </c>
      <c r="Q171" s="90" t="s">
        <v>47</v>
      </c>
      <c r="R171" s="90" t="s">
        <v>48</v>
      </c>
      <c r="S171" s="87" t="s">
        <v>144</v>
      </c>
      <c r="T171" s="88">
        <v>3846666</v>
      </c>
      <c r="U171" s="93" t="s">
        <v>145</v>
      </c>
      <c r="V171" s="90" t="s">
        <v>313</v>
      </c>
      <c r="W171" s="75" t="s">
        <v>85</v>
      </c>
      <c r="X171" s="87" t="s">
        <v>146</v>
      </c>
      <c r="Y171" s="90"/>
      <c r="Z171" s="90"/>
      <c r="AA171" s="236">
        <v>1424558.66</v>
      </c>
      <c r="AB171" s="8">
        <f t="shared" si="35"/>
        <v>75441.340000000084</v>
      </c>
      <c r="AC171" s="174">
        <v>7621</v>
      </c>
      <c r="AD171" s="175">
        <v>75441.34</v>
      </c>
      <c r="AE171" s="175">
        <f t="shared" si="33"/>
        <v>0</v>
      </c>
      <c r="AF171" s="264">
        <v>8321</v>
      </c>
      <c r="AG171" s="260">
        <v>44281</v>
      </c>
      <c r="AH171" s="265">
        <v>75441.34</v>
      </c>
      <c r="AI171" s="261">
        <f t="shared" si="34"/>
        <v>0</v>
      </c>
      <c r="AJ171" s="259" t="s">
        <v>317</v>
      </c>
      <c r="AK171" s="259" t="s">
        <v>318</v>
      </c>
      <c r="AL171" s="309">
        <v>37720.67</v>
      </c>
      <c r="AM171" s="90" t="s">
        <v>127</v>
      </c>
      <c r="AN171" s="252"/>
    </row>
    <row r="172" spans="1:40" s="89" customFormat="1" ht="26.25" customHeight="1" x14ac:dyDescent="0.3">
      <c r="A172" s="94" t="s">
        <v>457</v>
      </c>
      <c r="B172" s="90" t="s">
        <v>65</v>
      </c>
      <c r="C172" s="140" t="s">
        <v>458</v>
      </c>
      <c r="D172" s="90" t="s">
        <v>65</v>
      </c>
      <c r="E172" s="90" t="s">
        <v>142</v>
      </c>
      <c r="F172" s="90">
        <v>72102103</v>
      </c>
      <c r="G172" s="87" t="s">
        <v>461</v>
      </c>
      <c r="H172" s="88">
        <v>2</v>
      </c>
      <c r="I172" s="88">
        <v>3</v>
      </c>
      <c r="J172" s="88">
        <v>9</v>
      </c>
      <c r="K172" s="72">
        <v>1</v>
      </c>
      <c r="L172" s="7" t="s">
        <v>182</v>
      </c>
      <c r="M172" s="88" t="s">
        <v>46</v>
      </c>
      <c r="N172" s="95">
        <v>523599</v>
      </c>
      <c r="O172" s="7">
        <v>1</v>
      </c>
      <c r="P172" s="7">
        <v>3</v>
      </c>
      <c r="Q172" s="90" t="s">
        <v>47</v>
      </c>
      <c r="R172" s="90" t="s">
        <v>48</v>
      </c>
      <c r="S172" s="87" t="s">
        <v>144</v>
      </c>
      <c r="T172" s="88">
        <v>3846666</v>
      </c>
      <c r="U172" s="93" t="s">
        <v>145</v>
      </c>
      <c r="V172" s="90" t="s">
        <v>313</v>
      </c>
      <c r="W172" s="75" t="s">
        <v>85</v>
      </c>
      <c r="X172" s="87" t="s">
        <v>146</v>
      </c>
      <c r="Y172" s="90"/>
      <c r="Z172" s="90"/>
      <c r="AA172" s="236"/>
      <c r="AB172" s="8">
        <f t="shared" ref="AB172" si="36">+N172+Y172+Z172-AA172</f>
        <v>523599</v>
      </c>
      <c r="AC172" s="174">
        <v>1121</v>
      </c>
      <c r="AD172" s="175">
        <f>523599-21685.07</f>
        <v>501913.93</v>
      </c>
      <c r="AE172" s="175">
        <f t="shared" si="33"/>
        <v>21685.070000000007</v>
      </c>
      <c r="AF172" s="259">
        <v>521</v>
      </c>
      <c r="AG172" s="260">
        <v>44214</v>
      </c>
      <c r="AH172" s="261">
        <f>523599-21685.07</f>
        <v>501913.93</v>
      </c>
      <c r="AI172" s="261">
        <f t="shared" si="34"/>
        <v>21685.070000000007</v>
      </c>
      <c r="AJ172" s="259" t="s">
        <v>433</v>
      </c>
      <c r="AK172" s="259" t="s">
        <v>434</v>
      </c>
      <c r="AL172" s="309">
        <v>501913.93</v>
      </c>
      <c r="AM172" s="90"/>
      <c r="AN172" s="252"/>
    </row>
    <row r="173" spans="1:40" s="89" customFormat="1" ht="26.25" customHeight="1" x14ac:dyDescent="0.3">
      <c r="A173" s="94" t="s">
        <v>624</v>
      </c>
      <c r="B173" s="90" t="s">
        <v>65</v>
      </c>
      <c r="C173" s="140" t="s">
        <v>458</v>
      </c>
      <c r="D173" s="90" t="s">
        <v>65</v>
      </c>
      <c r="E173" s="90" t="s">
        <v>462</v>
      </c>
      <c r="F173" s="90">
        <v>93141506</v>
      </c>
      <c r="G173" s="87" t="s">
        <v>463</v>
      </c>
      <c r="H173" s="86">
        <v>4</v>
      </c>
      <c r="I173" s="86">
        <v>4</v>
      </c>
      <c r="J173" s="86">
        <v>8</v>
      </c>
      <c r="K173" s="72">
        <v>1</v>
      </c>
      <c r="L173" s="7" t="s">
        <v>182</v>
      </c>
      <c r="M173" s="86" t="s">
        <v>119</v>
      </c>
      <c r="N173" s="117">
        <f>20000000-1100000-8900000</f>
        <v>10000000</v>
      </c>
      <c r="O173" s="7">
        <v>0</v>
      </c>
      <c r="P173" s="7">
        <v>0</v>
      </c>
      <c r="Q173" s="90" t="s">
        <v>47</v>
      </c>
      <c r="R173" s="90" t="s">
        <v>48</v>
      </c>
      <c r="S173" s="63" t="s">
        <v>144</v>
      </c>
      <c r="T173" s="87">
        <v>3846666</v>
      </c>
      <c r="U173" s="93" t="s">
        <v>145</v>
      </c>
      <c r="V173" s="90" t="s">
        <v>313</v>
      </c>
      <c r="W173" s="75" t="s">
        <v>85</v>
      </c>
      <c r="X173" s="96" t="s">
        <v>233</v>
      </c>
      <c r="Y173" s="90"/>
      <c r="Z173" s="90"/>
      <c r="AA173" s="236"/>
      <c r="AB173" s="8">
        <f t="shared" si="35"/>
        <v>10000000</v>
      </c>
      <c r="AC173" s="174">
        <v>19621</v>
      </c>
      <c r="AD173" s="175">
        <v>9969600</v>
      </c>
      <c r="AE173" s="175">
        <f t="shared" si="33"/>
        <v>30400</v>
      </c>
      <c r="AF173" s="259">
        <v>21921</v>
      </c>
      <c r="AG173" s="260">
        <v>44469</v>
      </c>
      <c r="AH173" s="261">
        <v>9969600</v>
      </c>
      <c r="AI173" s="261">
        <f t="shared" si="34"/>
        <v>30400</v>
      </c>
      <c r="AJ173" s="261" t="s">
        <v>923</v>
      </c>
      <c r="AK173" s="261" t="s">
        <v>588</v>
      </c>
      <c r="AL173" s="309">
        <v>8019172</v>
      </c>
      <c r="AM173" s="232"/>
      <c r="AN173" s="252"/>
    </row>
    <row r="174" spans="1:40" s="89" customFormat="1" ht="26.25" customHeight="1" x14ac:dyDescent="0.3">
      <c r="A174" s="94" t="s">
        <v>464</v>
      </c>
      <c r="B174" s="90" t="s">
        <v>65</v>
      </c>
      <c r="C174" s="140" t="s">
        <v>458</v>
      </c>
      <c r="D174" s="90" t="s">
        <v>65</v>
      </c>
      <c r="E174" s="90" t="s">
        <v>142</v>
      </c>
      <c r="F174" s="90">
        <v>72153501</v>
      </c>
      <c r="G174" s="87" t="s">
        <v>465</v>
      </c>
      <c r="H174" s="88">
        <v>2</v>
      </c>
      <c r="I174" s="88">
        <v>3</v>
      </c>
      <c r="J174" s="88">
        <v>9</v>
      </c>
      <c r="K174" s="72">
        <v>1</v>
      </c>
      <c r="L174" s="7" t="s">
        <v>182</v>
      </c>
      <c r="M174" s="88" t="s">
        <v>119</v>
      </c>
      <c r="N174" s="95">
        <v>7500000</v>
      </c>
      <c r="O174" s="7">
        <v>0</v>
      </c>
      <c r="P174" s="7">
        <v>0</v>
      </c>
      <c r="Q174" s="90" t="s">
        <v>47</v>
      </c>
      <c r="R174" s="90" t="s">
        <v>48</v>
      </c>
      <c r="S174" s="87" t="s">
        <v>144</v>
      </c>
      <c r="T174" s="88">
        <v>3846666</v>
      </c>
      <c r="U174" s="93" t="s">
        <v>145</v>
      </c>
      <c r="V174" s="90" t="s">
        <v>313</v>
      </c>
      <c r="W174" s="75" t="s">
        <v>85</v>
      </c>
      <c r="X174" s="87" t="s">
        <v>146</v>
      </c>
      <c r="Y174" s="90"/>
      <c r="Z174" s="90"/>
      <c r="AA174" s="236">
        <v>2653368</v>
      </c>
      <c r="AB174" s="8">
        <f t="shared" si="35"/>
        <v>4846632</v>
      </c>
      <c r="AC174" s="174">
        <v>11621</v>
      </c>
      <c r="AD174" s="175">
        <f>7448250-2601618</f>
        <v>4846632</v>
      </c>
      <c r="AE174" s="181">
        <f t="shared" si="33"/>
        <v>0</v>
      </c>
      <c r="AF174" s="259">
        <v>19021</v>
      </c>
      <c r="AG174" s="260">
        <v>44441</v>
      </c>
      <c r="AH174" s="261">
        <v>4846632</v>
      </c>
      <c r="AI174" s="261">
        <f t="shared" si="34"/>
        <v>0</v>
      </c>
      <c r="AJ174" s="261" t="s">
        <v>886</v>
      </c>
      <c r="AK174" s="261" t="s">
        <v>885</v>
      </c>
      <c r="AL174" s="309">
        <v>4846632</v>
      </c>
      <c r="AM174" s="232" t="s">
        <v>798</v>
      </c>
      <c r="AN174" s="252"/>
    </row>
    <row r="175" spans="1:40" s="89" customFormat="1" ht="26.25" customHeight="1" x14ac:dyDescent="0.3">
      <c r="A175" s="94" t="s">
        <v>65</v>
      </c>
      <c r="B175" s="90" t="s">
        <v>65</v>
      </c>
      <c r="C175" s="140" t="s">
        <v>458</v>
      </c>
      <c r="D175" s="90" t="s">
        <v>65</v>
      </c>
      <c r="E175" s="90" t="s">
        <v>142</v>
      </c>
      <c r="F175" s="90" t="s">
        <v>466</v>
      </c>
      <c r="G175" s="87" t="s">
        <v>467</v>
      </c>
      <c r="H175" s="88">
        <v>5</v>
      </c>
      <c r="I175" s="88">
        <v>5</v>
      </c>
      <c r="J175" s="88">
        <v>24</v>
      </c>
      <c r="K175" s="72">
        <v>2</v>
      </c>
      <c r="L175" s="7" t="s">
        <v>45</v>
      </c>
      <c r="M175" s="88" t="s">
        <v>65</v>
      </c>
      <c r="N175" s="95">
        <v>0</v>
      </c>
      <c r="O175" s="7">
        <v>0</v>
      </c>
      <c r="P175" s="7">
        <v>0</v>
      </c>
      <c r="Q175" s="90" t="s">
        <v>47</v>
      </c>
      <c r="R175" s="90" t="s">
        <v>48</v>
      </c>
      <c r="S175" s="87" t="s">
        <v>144</v>
      </c>
      <c r="T175" s="88">
        <v>3846666</v>
      </c>
      <c r="U175" s="93" t="s">
        <v>145</v>
      </c>
      <c r="V175" s="90" t="s">
        <v>313</v>
      </c>
      <c r="W175" s="75" t="s">
        <v>85</v>
      </c>
      <c r="X175" s="87" t="s">
        <v>146</v>
      </c>
      <c r="Y175" s="90"/>
      <c r="Z175" s="90"/>
      <c r="AA175" s="236"/>
      <c r="AB175" s="8">
        <f t="shared" si="35"/>
        <v>0</v>
      </c>
      <c r="AC175" s="232"/>
      <c r="AD175" s="233"/>
      <c r="AE175" s="233">
        <f t="shared" si="33"/>
        <v>0</v>
      </c>
      <c r="AF175" s="232"/>
      <c r="AG175" s="232"/>
      <c r="AH175" s="233"/>
      <c r="AI175" s="233">
        <f t="shared" si="34"/>
        <v>0</v>
      </c>
      <c r="AJ175" s="232"/>
      <c r="AK175" s="232"/>
      <c r="AL175" s="306"/>
      <c r="AM175" s="232" t="s">
        <v>62</v>
      </c>
      <c r="AN175" s="252"/>
    </row>
    <row r="176" spans="1:40" s="89" customFormat="1" ht="26.25" customHeight="1" x14ac:dyDescent="0.3">
      <c r="A176" s="94" t="s">
        <v>468</v>
      </c>
      <c r="B176" s="90" t="s">
        <v>65</v>
      </c>
      <c r="C176" s="105" t="s">
        <v>469</v>
      </c>
      <c r="D176" s="90" t="s">
        <v>65</v>
      </c>
      <c r="E176" s="90" t="s">
        <v>462</v>
      </c>
      <c r="F176" s="90">
        <v>76122406</v>
      </c>
      <c r="G176" s="87" t="s">
        <v>470</v>
      </c>
      <c r="H176" s="7" t="s">
        <v>842</v>
      </c>
      <c r="I176" s="7" t="s">
        <v>842</v>
      </c>
      <c r="J176" s="278">
        <v>1</v>
      </c>
      <c r="K176" s="72">
        <v>1</v>
      </c>
      <c r="L176" s="7" t="s">
        <v>182</v>
      </c>
      <c r="M176" s="90" t="s">
        <v>119</v>
      </c>
      <c r="N176" s="95">
        <f>4500000+296313+278-497351</f>
        <v>4299240</v>
      </c>
      <c r="O176" s="7">
        <v>0</v>
      </c>
      <c r="P176" s="7">
        <v>0</v>
      </c>
      <c r="Q176" s="90" t="s">
        <v>47</v>
      </c>
      <c r="R176" s="90" t="s">
        <v>48</v>
      </c>
      <c r="S176" s="87" t="s">
        <v>144</v>
      </c>
      <c r="T176" s="88">
        <v>3846666</v>
      </c>
      <c r="U176" s="93" t="s">
        <v>145</v>
      </c>
      <c r="V176" s="90" t="s">
        <v>313</v>
      </c>
      <c r="W176" s="75" t="s">
        <v>155</v>
      </c>
      <c r="X176" s="96" t="s">
        <v>233</v>
      </c>
      <c r="Y176" s="90"/>
      <c r="Z176" s="235">
        <v>300000</v>
      </c>
      <c r="AA176" s="236"/>
      <c r="AB176" s="8">
        <f t="shared" si="35"/>
        <v>4599240</v>
      </c>
      <c r="AC176" s="174">
        <v>12421</v>
      </c>
      <c r="AD176" s="175">
        <f>4299240+300000-1221</f>
        <v>4598019</v>
      </c>
      <c r="AE176" s="175">
        <f t="shared" si="33"/>
        <v>1221</v>
      </c>
      <c r="AF176" s="259" t="s">
        <v>932</v>
      </c>
      <c r="AG176" s="260" t="s">
        <v>933</v>
      </c>
      <c r="AH176" s="261">
        <f>3469840+1128179</f>
        <v>4598019</v>
      </c>
      <c r="AI176" s="261">
        <f t="shared" si="34"/>
        <v>1221</v>
      </c>
      <c r="AJ176" s="259" t="s">
        <v>934</v>
      </c>
      <c r="AK176" s="259" t="s">
        <v>935</v>
      </c>
      <c r="AL176" s="309">
        <f>3469840+1128179</f>
        <v>4598019</v>
      </c>
      <c r="AM176" s="90" t="s">
        <v>798</v>
      </c>
      <c r="AN176" s="252"/>
    </row>
    <row r="177" spans="1:95" s="89" customFormat="1" ht="26.25" customHeight="1" x14ac:dyDescent="0.3">
      <c r="A177" s="94" t="s">
        <v>901</v>
      </c>
      <c r="B177" s="90" t="s">
        <v>65</v>
      </c>
      <c r="C177" s="105" t="s">
        <v>899</v>
      </c>
      <c r="D177" s="90" t="s">
        <v>65</v>
      </c>
      <c r="E177" s="90" t="s">
        <v>142</v>
      </c>
      <c r="F177" s="90">
        <v>39101605</v>
      </c>
      <c r="G177" s="87" t="s">
        <v>900</v>
      </c>
      <c r="H177" s="7">
        <v>11</v>
      </c>
      <c r="I177" s="7">
        <v>11</v>
      </c>
      <c r="J177" s="278">
        <v>2</v>
      </c>
      <c r="K177" s="72">
        <v>1</v>
      </c>
      <c r="L177" s="7" t="s">
        <v>803</v>
      </c>
      <c r="M177" s="90" t="s">
        <v>119</v>
      </c>
      <c r="N177" s="287">
        <v>0</v>
      </c>
      <c r="O177" s="7">
        <v>0</v>
      </c>
      <c r="P177" s="7">
        <v>0</v>
      </c>
      <c r="Q177" s="90" t="s">
        <v>47</v>
      </c>
      <c r="R177" s="90" t="s">
        <v>48</v>
      </c>
      <c r="S177" s="87" t="s">
        <v>144</v>
      </c>
      <c r="T177" s="88">
        <v>3846666</v>
      </c>
      <c r="U177" s="93" t="s">
        <v>145</v>
      </c>
      <c r="V177" s="90" t="s">
        <v>313</v>
      </c>
      <c r="W177" s="75" t="s">
        <v>155</v>
      </c>
      <c r="X177" s="87" t="s">
        <v>146</v>
      </c>
      <c r="Y177" s="235">
        <v>4050000</v>
      </c>
      <c r="Z177" s="235"/>
      <c r="AA177" s="236"/>
      <c r="AB177" s="8">
        <f t="shared" si="35"/>
        <v>4050000</v>
      </c>
      <c r="AC177" s="174">
        <v>19421</v>
      </c>
      <c r="AD177" s="175">
        <v>4040600</v>
      </c>
      <c r="AE177" s="175">
        <f t="shared" si="33"/>
        <v>9400</v>
      </c>
      <c r="AF177" s="259">
        <v>21321</v>
      </c>
      <c r="AG177" s="260">
        <v>44467</v>
      </c>
      <c r="AH177" s="261">
        <v>4040600</v>
      </c>
      <c r="AI177" s="261">
        <f t="shared" si="34"/>
        <v>9400</v>
      </c>
      <c r="AJ177" s="259" t="s">
        <v>914</v>
      </c>
      <c r="AK177" s="259" t="s">
        <v>913</v>
      </c>
      <c r="AL177" s="309">
        <v>4040600</v>
      </c>
      <c r="AM177" s="90" t="s">
        <v>798</v>
      </c>
      <c r="AN177" s="252"/>
    </row>
    <row r="178" spans="1:95" ht="68.400000000000006" customHeight="1" x14ac:dyDescent="0.3">
      <c r="A178" s="152" t="s">
        <v>471</v>
      </c>
      <c r="B178" s="90" t="s">
        <v>65</v>
      </c>
      <c r="C178" s="62" t="s">
        <v>472</v>
      </c>
      <c r="D178" s="90" t="s">
        <v>65</v>
      </c>
      <c r="E178" s="90" t="s">
        <v>383</v>
      </c>
      <c r="F178" s="90" t="s">
        <v>65</v>
      </c>
      <c r="G178" s="7" t="s">
        <v>473</v>
      </c>
      <c r="H178" s="88" t="s">
        <v>65</v>
      </c>
      <c r="I178" s="88" t="s">
        <v>65</v>
      </c>
      <c r="J178" s="88" t="s">
        <v>65</v>
      </c>
      <c r="K178" s="88" t="s">
        <v>65</v>
      </c>
      <c r="L178" s="90" t="s">
        <v>67</v>
      </c>
      <c r="M178" s="90" t="s">
        <v>46</v>
      </c>
      <c r="N178" s="6">
        <v>48794275</v>
      </c>
      <c r="O178" s="7">
        <v>0</v>
      </c>
      <c r="P178" s="7">
        <v>0</v>
      </c>
      <c r="Q178" s="90" t="s">
        <v>47</v>
      </c>
      <c r="R178" s="90" t="s">
        <v>48</v>
      </c>
      <c r="S178" s="87" t="s">
        <v>144</v>
      </c>
      <c r="T178" s="88">
        <v>3846667</v>
      </c>
      <c r="U178" s="93" t="s">
        <v>145</v>
      </c>
      <c r="V178" s="90" t="s">
        <v>313</v>
      </c>
      <c r="W178" s="7" t="s">
        <v>65</v>
      </c>
      <c r="X178" s="107" t="s">
        <v>65</v>
      </c>
      <c r="Y178" s="90"/>
      <c r="Z178" s="90"/>
      <c r="AA178" s="90"/>
      <c r="AB178" s="8">
        <f>+N178+Y178+Z178-AA178</f>
        <v>48794275</v>
      </c>
      <c r="AC178" s="232"/>
      <c r="AD178" s="233"/>
      <c r="AE178" s="233">
        <f t="shared" si="33"/>
        <v>48794275</v>
      </c>
      <c r="AF178" s="232"/>
      <c r="AG178" s="232"/>
      <c r="AH178" s="233"/>
      <c r="AI178" s="233">
        <f t="shared" si="34"/>
        <v>48794275</v>
      </c>
      <c r="AJ178" s="232"/>
      <c r="AK178" s="232"/>
      <c r="AL178" s="233"/>
      <c r="AM178" s="232"/>
    </row>
    <row r="179" spans="1:95" s="89" customFormat="1" ht="61.2" customHeight="1" x14ac:dyDescent="0.3">
      <c r="A179" s="106" t="s">
        <v>474</v>
      </c>
      <c r="B179" s="90" t="s">
        <v>65</v>
      </c>
      <c r="C179" s="146" t="s">
        <v>475</v>
      </c>
      <c r="D179" s="90" t="s">
        <v>65</v>
      </c>
      <c r="E179" s="90" t="s">
        <v>252</v>
      </c>
      <c r="F179" s="90" t="s">
        <v>65</v>
      </c>
      <c r="G179" s="90" t="s">
        <v>476</v>
      </c>
      <c r="H179" s="88" t="s">
        <v>65</v>
      </c>
      <c r="I179" s="88" t="s">
        <v>65</v>
      </c>
      <c r="J179" s="88" t="s">
        <v>65</v>
      </c>
      <c r="K179" s="88" t="s">
        <v>65</v>
      </c>
      <c r="L179" s="90" t="s">
        <v>67</v>
      </c>
      <c r="M179" s="90" t="s">
        <v>46</v>
      </c>
      <c r="N179" s="95">
        <v>496287877</v>
      </c>
      <c r="O179" s="7">
        <v>0</v>
      </c>
      <c r="P179" s="7">
        <v>0</v>
      </c>
      <c r="Q179" s="90" t="s">
        <v>47</v>
      </c>
      <c r="R179" s="90" t="s">
        <v>48</v>
      </c>
      <c r="S179" s="87" t="s">
        <v>254</v>
      </c>
      <c r="T179" s="88">
        <v>3846666</v>
      </c>
      <c r="U179" s="108" t="s">
        <v>255</v>
      </c>
      <c r="V179" s="90" t="s">
        <v>313</v>
      </c>
      <c r="W179" s="75" t="s">
        <v>476</v>
      </c>
      <c r="X179" s="107" t="s">
        <v>65</v>
      </c>
      <c r="Y179" s="90"/>
      <c r="Z179" s="90"/>
      <c r="AA179" s="90"/>
      <c r="AB179" s="8">
        <f t="shared" si="35"/>
        <v>496287877</v>
      </c>
      <c r="AC179" s="174">
        <v>7221</v>
      </c>
      <c r="AD179" s="175">
        <v>7320000</v>
      </c>
      <c r="AE179" s="175">
        <f t="shared" si="33"/>
        <v>488967877</v>
      </c>
      <c r="AF179" s="259">
        <v>8121</v>
      </c>
      <c r="AG179" s="260">
        <v>44279</v>
      </c>
      <c r="AH179" s="261">
        <v>7320000</v>
      </c>
      <c r="AI179" s="261">
        <f t="shared" si="34"/>
        <v>488967877</v>
      </c>
      <c r="AJ179" s="261" t="s">
        <v>477</v>
      </c>
      <c r="AK179" s="261" t="s">
        <v>478</v>
      </c>
      <c r="AL179" s="275">
        <v>7320000</v>
      </c>
      <c r="AM179" s="90"/>
    </row>
    <row r="180" spans="1:95" s="89" customFormat="1" ht="61.2" customHeight="1" x14ac:dyDescent="0.3">
      <c r="A180" s="94" t="s">
        <v>479</v>
      </c>
      <c r="B180" s="90" t="s">
        <v>65</v>
      </c>
      <c r="C180" s="145" t="s">
        <v>480</v>
      </c>
      <c r="D180" s="90" t="s">
        <v>65</v>
      </c>
      <c r="E180" s="90" t="s">
        <v>142</v>
      </c>
      <c r="F180" s="90" t="s">
        <v>65</v>
      </c>
      <c r="G180" s="87" t="s">
        <v>481</v>
      </c>
      <c r="H180" s="88" t="s">
        <v>65</v>
      </c>
      <c r="I180" s="88" t="s">
        <v>65</v>
      </c>
      <c r="J180" s="88" t="s">
        <v>65</v>
      </c>
      <c r="K180" s="88" t="s">
        <v>65</v>
      </c>
      <c r="L180" s="90" t="s">
        <v>67</v>
      </c>
      <c r="M180" s="90" t="s">
        <v>46</v>
      </c>
      <c r="N180" s="95">
        <v>67000</v>
      </c>
      <c r="O180" s="7">
        <v>0</v>
      </c>
      <c r="P180" s="7">
        <v>0</v>
      </c>
      <c r="Q180" s="90" t="s">
        <v>47</v>
      </c>
      <c r="R180" s="90" t="s">
        <v>48</v>
      </c>
      <c r="S180" s="87" t="s">
        <v>144</v>
      </c>
      <c r="T180" s="88">
        <v>3846666</v>
      </c>
      <c r="U180" s="93" t="s">
        <v>145</v>
      </c>
      <c r="V180" s="90" t="s">
        <v>313</v>
      </c>
      <c r="W180" s="75" t="s">
        <v>482</v>
      </c>
      <c r="X180" s="87" t="s">
        <v>146</v>
      </c>
      <c r="Y180" s="90"/>
      <c r="Z180" s="90"/>
      <c r="AA180" s="90"/>
      <c r="AB180" s="8">
        <f t="shared" si="35"/>
        <v>67000</v>
      </c>
      <c r="AC180" s="174">
        <v>8121</v>
      </c>
      <c r="AD180" s="175">
        <v>61000</v>
      </c>
      <c r="AE180" s="175">
        <f t="shared" si="33"/>
        <v>6000</v>
      </c>
      <c r="AF180" s="259">
        <v>9421</v>
      </c>
      <c r="AG180" s="260">
        <v>44294</v>
      </c>
      <c r="AH180" s="261">
        <v>61000</v>
      </c>
      <c r="AI180" s="261">
        <f t="shared" si="34"/>
        <v>6000</v>
      </c>
      <c r="AJ180" s="259" t="s">
        <v>363</v>
      </c>
      <c r="AK180" s="259" t="s">
        <v>483</v>
      </c>
      <c r="AL180" s="275">
        <v>61000</v>
      </c>
      <c r="AM180" s="90"/>
    </row>
    <row r="181" spans="1:95" s="89" customFormat="1" ht="61.2" customHeight="1" x14ac:dyDescent="0.3">
      <c r="A181" s="94" t="s">
        <v>484</v>
      </c>
      <c r="B181" s="90" t="s">
        <v>65</v>
      </c>
      <c r="C181" s="144" t="s">
        <v>485</v>
      </c>
      <c r="D181" s="90" t="s">
        <v>65</v>
      </c>
      <c r="E181" s="90" t="s">
        <v>142</v>
      </c>
      <c r="F181" s="90" t="s">
        <v>65</v>
      </c>
      <c r="G181" s="87" t="s">
        <v>486</v>
      </c>
      <c r="H181" s="88" t="s">
        <v>65</v>
      </c>
      <c r="I181" s="88" t="s">
        <v>65</v>
      </c>
      <c r="J181" s="88" t="s">
        <v>65</v>
      </c>
      <c r="K181" s="88" t="s">
        <v>65</v>
      </c>
      <c r="L181" s="90" t="s">
        <v>67</v>
      </c>
      <c r="M181" s="245" t="s">
        <v>119</v>
      </c>
      <c r="N181" s="95">
        <v>0</v>
      </c>
      <c r="O181" s="7">
        <v>0</v>
      </c>
      <c r="P181" s="7">
        <v>0</v>
      </c>
      <c r="Q181" s="90" t="s">
        <v>47</v>
      </c>
      <c r="R181" s="90" t="s">
        <v>48</v>
      </c>
      <c r="S181" s="87" t="s">
        <v>144</v>
      </c>
      <c r="T181" s="88">
        <v>3846666</v>
      </c>
      <c r="U181" s="93" t="s">
        <v>145</v>
      </c>
      <c r="V181" s="90" t="s">
        <v>313</v>
      </c>
      <c r="W181" s="75" t="s">
        <v>486</v>
      </c>
      <c r="X181" s="87" t="s">
        <v>146</v>
      </c>
      <c r="Y181" s="235">
        <v>1935926</v>
      </c>
      <c r="Z181" s="90"/>
      <c r="AA181" s="90"/>
      <c r="AB181" s="8">
        <f t="shared" si="35"/>
        <v>1935926</v>
      </c>
      <c r="AC181" s="174">
        <v>22721</v>
      </c>
      <c r="AD181" s="175">
        <v>1935926</v>
      </c>
      <c r="AE181" s="175">
        <f t="shared" si="33"/>
        <v>0</v>
      </c>
      <c r="AF181" s="259">
        <v>24821</v>
      </c>
      <c r="AG181" s="260">
        <v>44503</v>
      </c>
      <c r="AH181" s="261">
        <v>1935926</v>
      </c>
      <c r="AI181" s="261">
        <f>+AB181-AH181</f>
        <v>0</v>
      </c>
      <c r="AJ181" s="259" t="s">
        <v>927</v>
      </c>
      <c r="AK181" s="259" t="s">
        <v>928</v>
      </c>
      <c r="AL181" s="275">
        <v>1935926</v>
      </c>
      <c r="AM181" s="232" t="s">
        <v>960</v>
      </c>
    </row>
    <row r="182" spans="1:95" s="89" customFormat="1" ht="98.4" customHeight="1" x14ac:dyDescent="0.3">
      <c r="A182" s="94" t="s">
        <v>484</v>
      </c>
      <c r="B182" s="90" t="s">
        <v>65</v>
      </c>
      <c r="C182" s="144" t="s">
        <v>485</v>
      </c>
      <c r="D182" s="90" t="s">
        <v>65</v>
      </c>
      <c r="E182" s="90" t="s">
        <v>142</v>
      </c>
      <c r="F182" s="90" t="s">
        <v>65</v>
      </c>
      <c r="G182" s="87" t="s">
        <v>486</v>
      </c>
      <c r="H182" s="88" t="s">
        <v>65</v>
      </c>
      <c r="I182" s="88" t="s">
        <v>65</v>
      </c>
      <c r="J182" s="88" t="s">
        <v>65</v>
      </c>
      <c r="K182" s="88" t="s">
        <v>65</v>
      </c>
      <c r="L182" s="90" t="s">
        <v>67</v>
      </c>
      <c r="M182" s="90" t="s">
        <v>46</v>
      </c>
      <c r="N182" s="95">
        <v>16480000</v>
      </c>
      <c r="O182" s="7">
        <v>0</v>
      </c>
      <c r="P182" s="7">
        <v>0</v>
      </c>
      <c r="Q182" s="90" t="s">
        <v>47</v>
      </c>
      <c r="R182" s="90" t="s">
        <v>48</v>
      </c>
      <c r="S182" s="87" t="s">
        <v>144</v>
      </c>
      <c r="T182" s="88">
        <v>3846666</v>
      </c>
      <c r="U182" s="93" t="s">
        <v>145</v>
      </c>
      <c r="V182" s="90" t="s">
        <v>313</v>
      </c>
      <c r="W182" s="75" t="s">
        <v>486</v>
      </c>
      <c r="X182" s="87" t="s">
        <v>146</v>
      </c>
      <c r="Y182" s="90"/>
      <c r="Z182" s="90"/>
      <c r="AA182" s="90"/>
      <c r="AB182" s="8">
        <f t="shared" si="35"/>
        <v>16480000</v>
      </c>
      <c r="AC182" s="174">
        <v>20621</v>
      </c>
      <c r="AD182" s="175">
        <v>16480000</v>
      </c>
      <c r="AE182" s="175">
        <f t="shared" si="33"/>
        <v>0</v>
      </c>
      <c r="AF182" s="259">
        <v>22521</v>
      </c>
      <c r="AG182" s="260">
        <v>44475</v>
      </c>
      <c r="AH182" s="261">
        <v>16480000</v>
      </c>
      <c r="AI182" s="261">
        <f t="shared" si="34"/>
        <v>0</v>
      </c>
      <c r="AJ182" s="259" t="s">
        <v>927</v>
      </c>
      <c r="AK182" s="259" t="s">
        <v>928</v>
      </c>
      <c r="AL182" s="275">
        <v>16480000</v>
      </c>
      <c r="AM182" s="232"/>
    </row>
    <row r="183" spans="1:95" s="89" customFormat="1" ht="87.6" customHeight="1" x14ac:dyDescent="0.3">
      <c r="A183" s="94" t="s">
        <v>487</v>
      </c>
      <c r="B183" s="90" t="s">
        <v>65</v>
      </c>
      <c r="C183" s="143" t="s">
        <v>488</v>
      </c>
      <c r="D183" s="90" t="s">
        <v>65</v>
      </c>
      <c r="E183" s="90" t="s">
        <v>142</v>
      </c>
      <c r="F183" s="90">
        <v>72153501</v>
      </c>
      <c r="G183" s="87" t="s">
        <v>489</v>
      </c>
      <c r="H183" s="88" t="s">
        <v>65</v>
      </c>
      <c r="I183" s="88" t="s">
        <v>65</v>
      </c>
      <c r="J183" s="88" t="s">
        <v>65</v>
      </c>
      <c r="K183" s="88" t="s">
        <v>65</v>
      </c>
      <c r="L183" s="90" t="s">
        <v>67</v>
      </c>
      <c r="M183" s="90" t="s">
        <v>119</v>
      </c>
      <c r="N183" s="95">
        <v>0</v>
      </c>
      <c r="O183" s="7">
        <v>0</v>
      </c>
      <c r="P183" s="7">
        <v>0</v>
      </c>
      <c r="Q183" s="90" t="s">
        <v>47</v>
      </c>
      <c r="R183" s="90" t="s">
        <v>48</v>
      </c>
      <c r="S183" s="87" t="s">
        <v>144</v>
      </c>
      <c r="T183" s="88">
        <v>3846666</v>
      </c>
      <c r="U183" s="93" t="s">
        <v>145</v>
      </c>
      <c r="V183" s="90" t="s">
        <v>313</v>
      </c>
      <c r="W183" s="75" t="s">
        <v>490</v>
      </c>
      <c r="X183" s="87" t="s">
        <v>146</v>
      </c>
      <c r="Y183" s="235">
        <v>2354133</v>
      </c>
      <c r="Z183" s="90"/>
      <c r="AA183" s="173"/>
      <c r="AB183" s="8">
        <f t="shared" si="35"/>
        <v>2354133</v>
      </c>
      <c r="AC183" s="174">
        <v>9421</v>
      </c>
      <c r="AD183" s="175">
        <v>2354133</v>
      </c>
      <c r="AE183" s="175">
        <f t="shared" si="33"/>
        <v>0</v>
      </c>
      <c r="AF183" s="259">
        <v>10921</v>
      </c>
      <c r="AG183" s="260">
        <v>44329</v>
      </c>
      <c r="AH183" s="261">
        <v>2354133</v>
      </c>
      <c r="AI183" s="261">
        <f t="shared" si="34"/>
        <v>0</v>
      </c>
      <c r="AJ183" s="259" t="s">
        <v>363</v>
      </c>
      <c r="AK183" s="259" t="s">
        <v>491</v>
      </c>
      <c r="AL183" s="275">
        <v>2354133</v>
      </c>
      <c r="AM183" s="90" t="s">
        <v>127</v>
      </c>
    </row>
    <row r="184" spans="1:95" s="89" customFormat="1" ht="68.400000000000006" customHeight="1" x14ac:dyDescent="0.3">
      <c r="A184" s="94" t="s">
        <v>487</v>
      </c>
      <c r="B184" s="90" t="s">
        <v>65</v>
      </c>
      <c r="C184" s="143" t="s">
        <v>488</v>
      </c>
      <c r="D184" s="90" t="s">
        <v>65</v>
      </c>
      <c r="E184" s="90" t="s">
        <v>142</v>
      </c>
      <c r="F184" s="90" t="s">
        <v>65</v>
      </c>
      <c r="G184" s="87" t="s">
        <v>489</v>
      </c>
      <c r="H184" s="88" t="s">
        <v>65</v>
      </c>
      <c r="I184" s="88" t="s">
        <v>65</v>
      </c>
      <c r="J184" s="88" t="s">
        <v>65</v>
      </c>
      <c r="K184" s="88" t="s">
        <v>65</v>
      </c>
      <c r="L184" s="90" t="s">
        <v>67</v>
      </c>
      <c r="M184" s="90" t="s">
        <v>46</v>
      </c>
      <c r="N184" s="95">
        <f>20157100-67000</f>
        <v>20090100</v>
      </c>
      <c r="O184" s="7">
        <v>0</v>
      </c>
      <c r="P184" s="7">
        <v>0</v>
      </c>
      <c r="Q184" s="90" t="s">
        <v>47</v>
      </c>
      <c r="R184" s="90" t="s">
        <v>48</v>
      </c>
      <c r="S184" s="87" t="s">
        <v>144</v>
      </c>
      <c r="T184" s="88">
        <v>3846666</v>
      </c>
      <c r="U184" s="93" t="s">
        <v>145</v>
      </c>
      <c r="V184" s="90" t="s">
        <v>313</v>
      </c>
      <c r="W184" s="75" t="s">
        <v>490</v>
      </c>
      <c r="X184" s="87" t="s">
        <v>146</v>
      </c>
      <c r="Y184" s="90"/>
      <c r="Z184" s="90"/>
      <c r="AA184" s="90"/>
      <c r="AB184" s="8">
        <f t="shared" si="35"/>
        <v>20090100</v>
      </c>
      <c r="AC184" s="174" t="s">
        <v>492</v>
      </c>
      <c r="AD184" s="175">
        <f>374233+15496000+4219867</f>
        <v>20090100</v>
      </c>
      <c r="AE184" s="175">
        <f t="shared" si="33"/>
        <v>0</v>
      </c>
      <c r="AF184" s="259" t="s">
        <v>493</v>
      </c>
      <c r="AG184" s="260" t="s">
        <v>494</v>
      </c>
      <c r="AH184" s="261">
        <f>374233+15496000+4219867</f>
        <v>20090100</v>
      </c>
      <c r="AI184" s="261">
        <f t="shared" si="34"/>
        <v>0</v>
      </c>
      <c r="AJ184" s="259" t="s">
        <v>363</v>
      </c>
      <c r="AK184" s="259" t="s">
        <v>483</v>
      </c>
      <c r="AL184" s="275">
        <f>374233+15496000+4219867</f>
        <v>20090100</v>
      </c>
      <c r="AM184" s="90"/>
    </row>
    <row r="185" spans="1:95" ht="26.25" hidden="1" customHeight="1" x14ac:dyDescent="0.3">
      <c r="AD185" s="216"/>
      <c r="AE185" s="216"/>
      <c r="AF185" s="216"/>
      <c r="AG185" s="216"/>
      <c r="AH185" s="216"/>
      <c r="AI185" s="216"/>
      <c r="AJ185" s="216"/>
      <c r="AK185" s="216"/>
      <c r="AM185" s="283"/>
      <c r="AN185" s="283"/>
      <c r="AO185" s="283"/>
      <c r="AP185" s="283"/>
      <c r="AQ185" s="283"/>
      <c r="AR185" s="283"/>
      <c r="AS185" s="283"/>
      <c r="AT185" s="283"/>
      <c r="AU185" s="283"/>
      <c r="AV185" s="283"/>
      <c r="AW185" s="283"/>
      <c r="AX185" s="283"/>
      <c r="AY185" s="283"/>
      <c r="AZ185" s="283"/>
      <c r="BA185" s="283"/>
      <c r="BB185" s="283"/>
      <c r="BC185" s="283"/>
      <c r="BD185" s="283"/>
      <c r="BE185" s="283"/>
      <c r="BF185" s="283"/>
      <c r="BG185" s="283"/>
      <c r="BH185" s="283"/>
      <c r="BI185" s="283"/>
      <c r="BJ185" s="283"/>
      <c r="BK185" s="283"/>
      <c r="BL185" s="283"/>
      <c r="BM185" s="283"/>
      <c r="BN185" s="283"/>
      <c r="BO185" s="283"/>
      <c r="BP185" s="283"/>
      <c r="BQ185" s="283"/>
      <c r="BR185" s="283"/>
      <c r="BS185" s="283"/>
      <c r="BT185" s="283"/>
      <c r="BU185" s="283"/>
      <c r="BV185" s="283"/>
      <c r="BW185" s="283"/>
      <c r="BX185" s="283"/>
      <c r="BY185" s="283"/>
      <c r="BZ185" s="283"/>
      <c r="CA185" s="283"/>
      <c r="CB185" s="283"/>
      <c r="CC185" s="283"/>
      <c r="CD185" s="283"/>
      <c r="CE185" s="283"/>
      <c r="CF185" s="283"/>
      <c r="CG185" s="283"/>
      <c r="CH185" s="283"/>
      <c r="CI185" s="283"/>
      <c r="CJ185" s="283"/>
      <c r="CK185" s="283"/>
      <c r="CL185" s="283"/>
      <c r="CM185" s="283"/>
      <c r="CN185" s="283"/>
      <c r="CO185" s="283"/>
      <c r="CP185" s="283"/>
      <c r="CQ185" s="283"/>
    </row>
    <row r="186" spans="1:95" ht="26.25" hidden="1" customHeight="1" x14ac:dyDescent="0.3">
      <c r="AH186" s="292"/>
      <c r="AI186" s="292"/>
      <c r="AJ186" s="292"/>
      <c r="AK186" s="290"/>
      <c r="AM186" s="283"/>
      <c r="AN186" s="283"/>
      <c r="AO186" s="283"/>
      <c r="AP186" s="283"/>
      <c r="AQ186" s="283"/>
      <c r="AR186" s="283"/>
      <c r="AS186" s="283"/>
      <c r="AT186" s="283"/>
      <c r="AU186" s="283"/>
      <c r="AV186" s="283"/>
      <c r="AW186" s="283"/>
      <c r="AX186" s="283"/>
      <c r="AY186" s="283"/>
      <c r="AZ186" s="283"/>
      <c r="BA186" s="283"/>
      <c r="BB186" s="283"/>
      <c r="BC186" s="283"/>
      <c r="BD186" s="283"/>
      <c r="BE186" s="283"/>
      <c r="BF186" s="283"/>
      <c r="BG186" s="283"/>
      <c r="BH186" s="283"/>
      <c r="BI186" s="283"/>
      <c r="BJ186" s="283"/>
      <c r="BK186" s="283"/>
      <c r="BL186" s="283"/>
      <c r="BM186" s="283"/>
      <c r="BN186" s="283"/>
      <c r="BO186" s="283"/>
      <c r="BP186" s="283"/>
      <c r="BQ186" s="283"/>
      <c r="BR186" s="283"/>
      <c r="BS186" s="283"/>
      <c r="BT186" s="283"/>
      <c r="BU186" s="283"/>
      <c r="BV186" s="283"/>
      <c r="BW186" s="283"/>
      <c r="BX186" s="283"/>
      <c r="BY186" s="283"/>
      <c r="BZ186" s="283"/>
      <c r="CA186" s="283"/>
      <c r="CB186" s="283"/>
      <c r="CC186" s="283"/>
      <c r="CD186" s="283"/>
      <c r="CE186" s="283"/>
      <c r="CF186" s="283"/>
      <c r="CG186" s="283"/>
      <c r="CH186" s="283"/>
      <c r="CI186" s="283"/>
      <c r="CJ186" s="283"/>
      <c r="CK186" s="283"/>
      <c r="CL186" s="283"/>
      <c r="CM186" s="283"/>
      <c r="CN186" s="283"/>
      <c r="CO186" s="283"/>
      <c r="CP186" s="283"/>
      <c r="CQ186" s="283"/>
    </row>
    <row r="187" spans="1:95" ht="26.25" hidden="1" customHeight="1" x14ac:dyDescent="0.3">
      <c r="AH187" s="292"/>
      <c r="AI187" s="292"/>
      <c r="AJ187" s="292"/>
      <c r="AM187" s="283"/>
      <c r="AN187" s="283"/>
      <c r="AO187" s="283"/>
      <c r="AP187" s="283"/>
      <c r="AQ187" s="283"/>
      <c r="AR187" s="283"/>
      <c r="AS187" s="283"/>
      <c r="AT187" s="283"/>
      <c r="AU187" s="283"/>
      <c r="AV187" s="283"/>
      <c r="AW187" s="283"/>
      <c r="AX187" s="283"/>
      <c r="AY187" s="283"/>
      <c r="AZ187" s="283"/>
      <c r="BA187" s="283"/>
      <c r="BB187" s="283"/>
      <c r="BC187" s="283"/>
      <c r="BD187" s="283"/>
      <c r="BE187" s="283"/>
      <c r="BF187" s="283"/>
      <c r="BG187" s="283"/>
      <c r="BH187" s="283"/>
      <c r="BI187" s="283"/>
      <c r="BJ187" s="283"/>
      <c r="BK187" s="283"/>
      <c r="BL187" s="283"/>
      <c r="BM187" s="283"/>
      <c r="BN187" s="283"/>
      <c r="BO187" s="283"/>
      <c r="BP187" s="283"/>
      <c r="BQ187" s="283"/>
      <c r="BR187" s="283"/>
      <c r="BS187" s="283"/>
      <c r="BT187" s="283"/>
      <c r="BU187" s="283"/>
      <c r="BV187" s="283"/>
      <c r="BW187" s="283"/>
      <c r="BX187" s="283"/>
      <c r="BY187" s="283"/>
      <c r="BZ187" s="283"/>
      <c r="CA187" s="283"/>
      <c r="CB187" s="283"/>
      <c r="CC187" s="283"/>
      <c r="CD187" s="283"/>
      <c r="CE187" s="283"/>
      <c r="CF187" s="283"/>
      <c r="CG187" s="283"/>
      <c r="CH187" s="283"/>
      <c r="CI187" s="283"/>
      <c r="CJ187" s="283"/>
      <c r="CK187" s="283"/>
      <c r="CL187" s="283"/>
      <c r="CM187" s="283"/>
      <c r="CN187" s="283"/>
      <c r="CO187" s="283"/>
      <c r="CP187" s="283"/>
      <c r="CQ187" s="283"/>
    </row>
    <row r="188" spans="1:95" ht="26.25" hidden="1" customHeight="1" x14ac:dyDescent="0.3">
      <c r="AH188" s="292"/>
      <c r="AI188" s="292"/>
      <c r="AJ188" s="292"/>
      <c r="AM188" s="283"/>
      <c r="AN188" s="283"/>
      <c r="AO188" s="283"/>
      <c r="AP188" s="283"/>
      <c r="AQ188" s="283"/>
      <c r="AR188" s="283"/>
      <c r="AS188" s="283"/>
      <c r="AT188" s="283"/>
      <c r="AU188" s="283"/>
      <c r="AV188" s="283"/>
      <c r="AW188" s="283"/>
      <c r="AX188" s="283"/>
      <c r="AY188" s="283"/>
      <c r="AZ188" s="283"/>
      <c r="BA188" s="283"/>
      <c r="BB188" s="283"/>
      <c r="BC188" s="283"/>
      <c r="BD188" s="283"/>
      <c r="BE188" s="283"/>
      <c r="BF188" s="283"/>
      <c r="BG188" s="283"/>
      <c r="BH188" s="283"/>
      <c r="BI188" s="283"/>
      <c r="BJ188" s="283"/>
      <c r="BK188" s="283"/>
      <c r="BL188" s="283"/>
      <c r="BM188" s="283"/>
      <c r="BN188" s="283"/>
      <c r="BO188" s="283"/>
      <c r="BP188" s="283"/>
      <c r="BQ188" s="283"/>
      <c r="BR188" s="283"/>
      <c r="BS188" s="283"/>
      <c r="BT188" s="283"/>
      <c r="BU188" s="283"/>
      <c r="BV188" s="283"/>
      <c r="BW188" s="283"/>
      <c r="BX188" s="283"/>
      <c r="BY188" s="283"/>
      <c r="BZ188" s="283"/>
      <c r="CA188" s="283"/>
      <c r="CB188" s="283"/>
      <c r="CC188" s="283"/>
      <c r="CD188" s="283"/>
      <c r="CE188" s="283"/>
      <c r="CF188" s="283"/>
      <c r="CG188" s="283"/>
      <c r="CH188" s="283"/>
      <c r="CI188" s="283"/>
      <c r="CJ188" s="283"/>
      <c r="CK188" s="283"/>
      <c r="CL188" s="283"/>
      <c r="CM188" s="283"/>
      <c r="CN188" s="283"/>
      <c r="CO188" s="283"/>
      <c r="CP188" s="283"/>
      <c r="CQ188" s="283"/>
    </row>
    <row r="189" spans="1:95" ht="26.25" hidden="1" customHeight="1" x14ac:dyDescent="0.3">
      <c r="AM189" s="283"/>
      <c r="AN189" s="283"/>
      <c r="AO189" s="283"/>
      <c r="AP189" s="283"/>
      <c r="AQ189" s="283"/>
      <c r="AR189" s="283"/>
      <c r="AS189" s="283"/>
      <c r="AT189" s="283"/>
      <c r="AU189" s="283"/>
      <c r="AV189" s="283"/>
      <c r="AW189" s="283"/>
      <c r="AX189" s="283"/>
      <c r="AY189" s="283"/>
      <c r="AZ189" s="283"/>
      <c r="BA189" s="283"/>
      <c r="BB189" s="283"/>
      <c r="BC189" s="283"/>
      <c r="BD189" s="283"/>
      <c r="BE189" s="283"/>
      <c r="BF189" s="283"/>
      <c r="BG189" s="283"/>
      <c r="BH189" s="283"/>
      <c r="BI189" s="283"/>
      <c r="BJ189" s="283"/>
      <c r="BK189" s="283"/>
      <c r="BL189" s="283"/>
      <c r="BM189" s="283"/>
      <c r="BN189" s="283"/>
      <c r="BO189" s="283"/>
      <c r="BP189" s="283"/>
      <c r="BQ189" s="283"/>
      <c r="BR189" s="283"/>
      <c r="BS189" s="283"/>
      <c r="BT189" s="283"/>
      <c r="BU189" s="283"/>
      <c r="BV189" s="283"/>
      <c r="BW189" s="283"/>
      <c r="BX189" s="283"/>
      <c r="BY189" s="283"/>
      <c r="BZ189" s="283"/>
      <c r="CA189" s="283"/>
      <c r="CB189" s="283"/>
      <c r="CC189" s="283"/>
      <c r="CD189" s="283"/>
      <c r="CE189" s="283"/>
      <c r="CF189" s="283"/>
      <c r="CG189" s="283"/>
      <c r="CH189" s="283"/>
      <c r="CI189" s="283"/>
      <c r="CJ189" s="283"/>
      <c r="CK189" s="283"/>
      <c r="CL189" s="283"/>
      <c r="CM189" s="283"/>
      <c r="CN189" s="283"/>
      <c r="CO189" s="283"/>
      <c r="CP189" s="283"/>
      <c r="CQ189" s="283"/>
    </row>
    <row r="190" spans="1:95" ht="26.25" hidden="1" customHeight="1" x14ac:dyDescent="0.3">
      <c r="AM190" s="283"/>
      <c r="AN190" s="283"/>
      <c r="AO190" s="283"/>
      <c r="AP190" s="283"/>
      <c r="AQ190" s="283"/>
      <c r="AR190" s="283"/>
      <c r="AS190" s="283"/>
      <c r="AT190" s="283"/>
      <c r="AU190" s="283"/>
      <c r="AV190" s="283"/>
      <c r="AW190" s="283"/>
      <c r="AX190" s="283"/>
      <c r="AY190" s="283"/>
      <c r="AZ190" s="283"/>
      <c r="BA190" s="283"/>
      <c r="BB190" s="283"/>
      <c r="BC190" s="283"/>
      <c r="BD190" s="283"/>
      <c r="BE190" s="283"/>
      <c r="BF190" s="283"/>
      <c r="BG190" s="283"/>
      <c r="BH190" s="283"/>
      <c r="BI190" s="283"/>
      <c r="BJ190" s="283"/>
      <c r="BK190" s="283"/>
      <c r="BL190" s="283"/>
      <c r="BM190" s="283"/>
      <c r="BN190" s="283"/>
      <c r="BO190" s="283"/>
      <c r="BP190" s="283"/>
      <c r="BQ190" s="283"/>
      <c r="BR190" s="283"/>
      <c r="BS190" s="283"/>
      <c r="BT190" s="283"/>
      <c r="BU190" s="283"/>
      <c r="BV190" s="283"/>
      <c r="BW190" s="283"/>
      <c r="BX190" s="283"/>
      <c r="BY190" s="283"/>
      <c r="BZ190" s="283"/>
      <c r="CA190" s="283"/>
      <c r="CB190" s="283"/>
      <c r="CC190" s="283"/>
      <c r="CD190" s="283"/>
      <c r="CE190" s="283"/>
      <c r="CF190" s="283"/>
      <c r="CG190" s="283"/>
      <c r="CH190" s="283"/>
      <c r="CI190" s="283"/>
      <c r="CJ190" s="283"/>
      <c r="CK190" s="283"/>
      <c r="CL190" s="283"/>
      <c r="CM190" s="283"/>
      <c r="CN190" s="283"/>
      <c r="CO190" s="283"/>
      <c r="CP190" s="283"/>
      <c r="CQ190" s="283"/>
    </row>
    <row r="191" spans="1:95" ht="26.25" hidden="1" customHeight="1" x14ac:dyDescent="0.3">
      <c r="AM191" s="283"/>
      <c r="AN191" s="283"/>
      <c r="AO191" s="283"/>
      <c r="AP191" s="283"/>
      <c r="AQ191" s="283"/>
      <c r="AR191" s="283"/>
      <c r="AS191" s="283"/>
      <c r="AT191" s="283"/>
      <c r="AU191" s="283"/>
      <c r="AV191" s="283"/>
      <c r="AW191" s="283"/>
      <c r="AX191" s="283"/>
      <c r="AY191" s="283"/>
      <c r="AZ191" s="283"/>
      <c r="BA191" s="283"/>
      <c r="BB191" s="283"/>
      <c r="BC191" s="283"/>
      <c r="BD191" s="283"/>
      <c r="BE191" s="283"/>
      <c r="BF191" s="283"/>
      <c r="BG191" s="283"/>
      <c r="BH191" s="283"/>
      <c r="BI191" s="283"/>
      <c r="BJ191" s="283"/>
      <c r="BK191" s="283"/>
      <c r="BL191" s="283"/>
      <c r="BM191" s="283"/>
      <c r="BN191" s="283"/>
      <c r="BO191" s="283"/>
      <c r="BP191" s="283"/>
      <c r="BQ191" s="283"/>
      <c r="BR191" s="283"/>
      <c r="BS191" s="283"/>
      <c r="BT191" s="283"/>
      <c r="BU191" s="283"/>
      <c r="BV191" s="283"/>
      <c r="BW191" s="283"/>
      <c r="BX191" s="283"/>
      <c r="BY191" s="283"/>
      <c r="BZ191" s="283"/>
      <c r="CA191" s="283"/>
      <c r="CB191" s="283"/>
      <c r="CC191" s="283"/>
      <c r="CD191" s="283"/>
      <c r="CE191" s="283"/>
      <c r="CF191" s="283"/>
      <c r="CG191" s="283"/>
      <c r="CH191" s="283"/>
      <c r="CI191" s="283"/>
      <c r="CJ191" s="283"/>
      <c r="CK191" s="283"/>
      <c r="CL191" s="283"/>
      <c r="CM191" s="283"/>
      <c r="CN191" s="283"/>
      <c r="CO191" s="283"/>
      <c r="CP191" s="283"/>
      <c r="CQ191" s="283"/>
    </row>
    <row r="192" spans="1:95" ht="26.25" hidden="1" customHeight="1" x14ac:dyDescent="0.3">
      <c r="AM192" s="283"/>
      <c r="AN192" s="283"/>
      <c r="AO192" s="283"/>
      <c r="AP192" s="283"/>
      <c r="AQ192" s="283"/>
      <c r="AR192" s="283"/>
      <c r="AS192" s="283"/>
      <c r="AT192" s="283"/>
      <c r="AU192" s="283"/>
      <c r="AV192" s="283"/>
      <c r="AW192" s="283"/>
      <c r="AX192" s="283"/>
      <c r="AY192" s="283"/>
      <c r="AZ192" s="283"/>
      <c r="BA192" s="283"/>
      <c r="BB192" s="283"/>
      <c r="BC192" s="283"/>
      <c r="BD192" s="283"/>
      <c r="BE192" s="283"/>
      <c r="BF192" s="283"/>
      <c r="BG192" s="283"/>
      <c r="BH192" s="283"/>
      <c r="BI192" s="283"/>
      <c r="BJ192" s="283"/>
      <c r="BK192" s="283"/>
      <c r="BL192" s="283"/>
      <c r="BM192" s="283"/>
      <c r="BN192" s="283"/>
      <c r="BO192" s="283"/>
      <c r="BP192" s="283"/>
      <c r="BQ192" s="283"/>
      <c r="BR192" s="283"/>
      <c r="BS192" s="283"/>
      <c r="BT192" s="283"/>
      <c r="BU192" s="283"/>
      <c r="BV192" s="283"/>
      <c r="BW192" s="283"/>
      <c r="BX192" s="283"/>
      <c r="BY192" s="283"/>
      <c r="BZ192" s="283"/>
      <c r="CA192" s="283"/>
      <c r="CB192" s="283"/>
      <c r="CC192" s="283"/>
      <c r="CD192" s="283"/>
      <c r="CE192" s="283"/>
      <c r="CF192" s="283"/>
      <c r="CG192" s="283"/>
      <c r="CH192" s="283"/>
      <c r="CI192" s="283"/>
      <c r="CJ192" s="283"/>
      <c r="CK192" s="283"/>
      <c r="CL192" s="283"/>
      <c r="CM192" s="283"/>
      <c r="CN192" s="283"/>
      <c r="CO192" s="283"/>
      <c r="CP192" s="283"/>
      <c r="CQ192" s="283"/>
    </row>
    <row r="193" spans="39:95" ht="26.25" hidden="1" customHeight="1" x14ac:dyDescent="0.3">
      <c r="AM193" s="283"/>
      <c r="AN193" s="283"/>
      <c r="AO193" s="283"/>
      <c r="AP193" s="283"/>
      <c r="AQ193" s="283"/>
      <c r="AR193" s="283"/>
      <c r="AS193" s="283"/>
      <c r="AT193" s="283"/>
      <c r="AU193" s="283"/>
      <c r="AV193" s="283"/>
      <c r="AW193" s="283"/>
      <c r="AX193" s="283"/>
      <c r="AY193" s="283"/>
      <c r="AZ193" s="283"/>
      <c r="BA193" s="283"/>
      <c r="BB193" s="283"/>
      <c r="BC193" s="283"/>
      <c r="BD193" s="283"/>
      <c r="BE193" s="283"/>
      <c r="BF193" s="283"/>
      <c r="BG193" s="283"/>
      <c r="BH193" s="283"/>
      <c r="BI193" s="283"/>
      <c r="BJ193" s="283"/>
      <c r="BK193" s="283"/>
      <c r="BL193" s="283"/>
      <c r="BM193" s="283"/>
      <c r="BN193" s="283"/>
      <c r="BO193" s="283"/>
      <c r="BP193" s="283"/>
      <c r="BQ193" s="283"/>
      <c r="BR193" s="283"/>
      <c r="BS193" s="283"/>
      <c r="BT193" s="283"/>
      <c r="BU193" s="283"/>
      <c r="BV193" s="283"/>
      <c r="BW193" s="283"/>
      <c r="BX193" s="283"/>
      <c r="BY193" s="283"/>
      <c r="BZ193" s="283"/>
      <c r="CA193" s="283"/>
      <c r="CB193" s="283"/>
      <c r="CC193" s="283"/>
      <c r="CD193" s="283"/>
      <c r="CE193" s="283"/>
      <c r="CF193" s="283"/>
      <c r="CG193" s="283"/>
      <c r="CH193" s="283"/>
      <c r="CI193" s="283"/>
      <c r="CJ193" s="283"/>
      <c r="CK193" s="283"/>
      <c r="CL193" s="283"/>
      <c r="CM193" s="283"/>
      <c r="CN193" s="283"/>
      <c r="CO193" s="283"/>
      <c r="CP193" s="283"/>
      <c r="CQ193" s="283"/>
    </row>
    <row r="194" spans="39:95" ht="26.25" hidden="1" customHeight="1" x14ac:dyDescent="0.3">
      <c r="AM194" s="283"/>
      <c r="AN194" s="283"/>
      <c r="AO194" s="283"/>
      <c r="AP194" s="283"/>
      <c r="AQ194" s="283"/>
      <c r="AR194" s="283"/>
      <c r="AS194" s="283"/>
      <c r="AT194" s="283"/>
      <c r="AU194" s="283"/>
      <c r="AV194" s="283"/>
      <c r="AW194" s="283"/>
      <c r="AX194" s="283"/>
      <c r="AY194" s="283"/>
      <c r="AZ194" s="283"/>
      <c r="BA194" s="283"/>
      <c r="BB194" s="283"/>
      <c r="BC194" s="283"/>
      <c r="BD194" s="283"/>
      <c r="BE194" s="283"/>
      <c r="BF194" s="283"/>
      <c r="BG194" s="283"/>
      <c r="BH194" s="283"/>
      <c r="BI194" s="283"/>
      <c r="BJ194" s="283"/>
      <c r="BK194" s="283"/>
      <c r="BL194" s="283"/>
      <c r="BM194" s="283"/>
      <c r="BN194" s="283"/>
      <c r="BO194" s="283"/>
      <c r="BP194" s="283"/>
      <c r="BQ194" s="283"/>
      <c r="BR194" s="283"/>
      <c r="BS194" s="283"/>
      <c r="BT194" s="283"/>
      <c r="BU194" s="283"/>
      <c r="BV194" s="283"/>
      <c r="BW194" s="283"/>
      <c r="BX194" s="283"/>
      <c r="BY194" s="283"/>
      <c r="BZ194" s="283"/>
      <c r="CA194" s="283"/>
      <c r="CB194" s="283"/>
      <c r="CC194" s="283"/>
      <c r="CD194" s="283"/>
      <c r="CE194" s="283"/>
      <c r="CF194" s="283"/>
      <c r="CG194" s="283"/>
      <c r="CH194" s="283"/>
      <c r="CI194" s="283"/>
      <c r="CJ194" s="283"/>
      <c r="CK194" s="283"/>
      <c r="CL194" s="283"/>
      <c r="CM194" s="283"/>
      <c r="CN194" s="283"/>
      <c r="CO194" s="283"/>
      <c r="CP194" s="283"/>
      <c r="CQ194" s="283"/>
    </row>
    <row r="195" spans="39:95" ht="26.25" hidden="1" customHeight="1" x14ac:dyDescent="0.3">
      <c r="AM195" s="283"/>
      <c r="AN195" s="283"/>
      <c r="AO195" s="283"/>
      <c r="AP195" s="283"/>
      <c r="AQ195" s="283"/>
      <c r="AR195" s="283"/>
      <c r="AS195" s="283"/>
      <c r="AT195" s="283"/>
      <c r="AU195" s="283"/>
      <c r="AV195" s="283"/>
      <c r="AW195" s="283"/>
      <c r="AX195" s="283"/>
      <c r="AY195" s="283"/>
      <c r="AZ195" s="283"/>
      <c r="BA195" s="283"/>
      <c r="BB195" s="283"/>
      <c r="BC195" s="283"/>
      <c r="BD195" s="283"/>
      <c r="BE195" s="283"/>
      <c r="BF195" s="283"/>
      <c r="BG195" s="283"/>
      <c r="BH195" s="283"/>
      <c r="BI195" s="283"/>
      <c r="BJ195" s="283"/>
      <c r="BK195" s="283"/>
      <c r="BL195" s="283"/>
      <c r="BM195" s="283"/>
      <c r="BN195" s="283"/>
      <c r="BO195" s="283"/>
      <c r="BP195" s="283"/>
      <c r="BQ195" s="283"/>
      <c r="BR195" s="283"/>
      <c r="BS195" s="283"/>
      <c r="BT195" s="283"/>
      <c r="BU195" s="283"/>
      <c r="BV195" s="283"/>
      <c r="BW195" s="283"/>
      <c r="BX195" s="283"/>
      <c r="BY195" s="283"/>
      <c r="BZ195" s="283"/>
      <c r="CA195" s="283"/>
      <c r="CB195" s="283"/>
      <c r="CC195" s="283"/>
      <c r="CD195" s="283"/>
      <c r="CE195" s="283"/>
      <c r="CF195" s="283"/>
      <c r="CG195" s="283"/>
      <c r="CH195" s="283"/>
      <c r="CI195" s="283"/>
      <c r="CJ195" s="283"/>
      <c r="CK195" s="283"/>
      <c r="CL195" s="283"/>
      <c r="CM195" s="283"/>
      <c r="CN195" s="283"/>
      <c r="CO195" s="283"/>
      <c r="CP195" s="283"/>
      <c r="CQ195" s="283"/>
    </row>
    <row r="196" spans="39:95" ht="26.25" hidden="1" customHeight="1" x14ac:dyDescent="0.3">
      <c r="AM196" s="283"/>
      <c r="AN196" s="283"/>
      <c r="AO196" s="283"/>
      <c r="AP196" s="283"/>
      <c r="AQ196" s="283"/>
      <c r="AR196" s="283"/>
      <c r="AS196" s="283"/>
      <c r="AT196" s="283"/>
      <c r="AU196" s="283"/>
      <c r="AV196" s="283"/>
      <c r="AW196" s="283"/>
      <c r="AX196" s="283"/>
      <c r="AY196" s="283"/>
      <c r="AZ196" s="283"/>
      <c r="BA196" s="283"/>
      <c r="BB196" s="283"/>
      <c r="BC196" s="283"/>
      <c r="BD196" s="283"/>
      <c r="BE196" s="283"/>
      <c r="BF196" s="283"/>
      <c r="BG196" s="283"/>
      <c r="BH196" s="283"/>
      <c r="BI196" s="283"/>
      <c r="BJ196" s="283"/>
      <c r="BK196" s="283"/>
      <c r="BL196" s="283"/>
      <c r="BM196" s="283"/>
      <c r="BN196" s="283"/>
      <c r="BO196" s="283"/>
      <c r="BP196" s="283"/>
      <c r="BQ196" s="283"/>
      <c r="BR196" s="283"/>
      <c r="BS196" s="283"/>
      <c r="BT196" s="283"/>
      <c r="BU196" s="283"/>
      <c r="BV196" s="283"/>
      <c r="BW196" s="283"/>
      <c r="BX196" s="283"/>
      <c r="BY196" s="283"/>
      <c r="BZ196" s="283"/>
      <c r="CA196" s="283"/>
      <c r="CB196" s="283"/>
      <c r="CC196" s="283"/>
      <c r="CD196" s="283"/>
      <c r="CE196" s="283"/>
      <c r="CF196" s="283"/>
      <c r="CG196" s="283"/>
      <c r="CH196" s="283"/>
      <c r="CI196" s="283"/>
      <c r="CJ196" s="283"/>
      <c r="CK196" s="283"/>
      <c r="CL196" s="283"/>
      <c r="CM196" s="283"/>
      <c r="CN196" s="283"/>
      <c r="CO196" s="283"/>
      <c r="CP196" s="283"/>
      <c r="CQ196" s="283"/>
    </row>
    <row r="197" spans="39:95" ht="26.25" hidden="1" customHeight="1" x14ac:dyDescent="0.3">
      <c r="AM197" s="283"/>
      <c r="AN197" s="283"/>
      <c r="AO197" s="283"/>
      <c r="AP197" s="283"/>
      <c r="AQ197" s="283"/>
      <c r="AR197" s="283"/>
      <c r="AS197" s="283"/>
      <c r="AT197" s="283"/>
      <c r="AU197" s="283"/>
      <c r="AV197" s="283"/>
      <c r="AW197" s="283"/>
      <c r="AX197" s="283"/>
      <c r="AY197" s="283"/>
      <c r="AZ197" s="283"/>
      <c r="BA197" s="283"/>
      <c r="BB197" s="283"/>
      <c r="BC197" s="283"/>
      <c r="BD197" s="283"/>
      <c r="BE197" s="283"/>
      <c r="BF197" s="283"/>
      <c r="BG197" s="283"/>
      <c r="BH197" s="283"/>
      <c r="BI197" s="283"/>
      <c r="BJ197" s="283"/>
      <c r="BK197" s="283"/>
      <c r="BL197" s="283"/>
      <c r="BM197" s="283"/>
      <c r="BN197" s="283"/>
      <c r="BO197" s="283"/>
      <c r="BP197" s="283"/>
      <c r="BQ197" s="283"/>
      <c r="BR197" s="283"/>
      <c r="BS197" s="283"/>
      <c r="BT197" s="283"/>
      <c r="BU197" s="283"/>
      <c r="BV197" s="283"/>
      <c r="BW197" s="283"/>
      <c r="BX197" s="283"/>
      <c r="BY197" s="283"/>
      <c r="BZ197" s="283"/>
      <c r="CA197" s="283"/>
      <c r="CB197" s="283"/>
      <c r="CC197" s="283"/>
      <c r="CD197" s="283"/>
      <c r="CE197" s="283"/>
      <c r="CF197" s="283"/>
      <c r="CG197" s="283"/>
      <c r="CH197" s="283"/>
      <c r="CI197" s="283"/>
      <c r="CJ197" s="283"/>
      <c r="CK197" s="283"/>
      <c r="CL197" s="283"/>
      <c r="CM197" s="283"/>
      <c r="CN197" s="283"/>
      <c r="CO197" s="283"/>
      <c r="CP197" s="283"/>
      <c r="CQ197" s="283"/>
    </row>
    <row r="198" spans="39:95" ht="26.25" hidden="1" customHeight="1" x14ac:dyDescent="0.3">
      <c r="AM198" s="283"/>
      <c r="AN198" s="283"/>
      <c r="AO198" s="283"/>
      <c r="AP198" s="283"/>
      <c r="AQ198" s="283"/>
      <c r="AR198" s="283"/>
      <c r="AS198" s="283"/>
      <c r="AT198" s="283"/>
      <c r="AU198" s="283"/>
      <c r="AV198" s="283"/>
      <c r="AW198" s="283"/>
      <c r="AX198" s="283"/>
      <c r="AY198" s="283"/>
      <c r="AZ198" s="283"/>
      <c r="BA198" s="283"/>
      <c r="BB198" s="283"/>
      <c r="BC198" s="283"/>
      <c r="BD198" s="283"/>
      <c r="BE198" s="283"/>
      <c r="BF198" s="283"/>
      <c r="BG198" s="283"/>
      <c r="BH198" s="283"/>
      <c r="BI198" s="283"/>
      <c r="BJ198" s="283"/>
      <c r="BK198" s="283"/>
      <c r="BL198" s="283"/>
      <c r="BM198" s="283"/>
      <c r="BN198" s="283"/>
      <c r="BO198" s="283"/>
      <c r="BP198" s="283"/>
      <c r="BQ198" s="283"/>
      <c r="BR198" s="283"/>
      <c r="BS198" s="283"/>
      <c r="BT198" s="283"/>
      <c r="BU198" s="283"/>
      <c r="BV198" s="283"/>
      <c r="BW198" s="283"/>
      <c r="BX198" s="283"/>
      <c r="BY198" s="283"/>
      <c r="BZ198" s="283"/>
      <c r="CA198" s="283"/>
      <c r="CB198" s="283"/>
      <c r="CC198" s="283"/>
      <c r="CD198" s="283"/>
      <c r="CE198" s="283"/>
      <c r="CF198" s="283"/>
      <c r="CG198" s="283"/>
      <c r="CH198" s="283"/>
      <c r="CI198" s="283"/>
      <c r="CJ198" s="283"/>
      <c r="CK198" s="283"/>
      <c r="CL198" s="283"/>
      <c r="CM198" s="283"/>
      <c r="CN198" s="283"/>
      <c r="CO198" s="283"/>
      <c r="CP198" s="283"/>
      <c r="CQ198" s="283"/>
    </row>
    <row r="199" spans="39:95" ht="26.25" hidden="1" customHeight="1" x14ac:dyDescent="0.3">
      <c r="AM199" s="283"/>
      <c r="AN199" s="283"/>
      <c r="AO199" s="283"/>
      <c r="AP199" s="283"/>
      <c r="AQ199" s="283"/>
      <c r="AR199" s="283"/>
      <c r="AS199" s="283"/>
      <c r="AT199" s="283"/>
      <c r="AU199" s="283"/>
      <c r="AV199" s="283"/>
      <c r="AW199" s="283"/>
      <c r="AX199" s="283"/>
      <c r="AY199" s="283"/>
      <c r="AZ199" s="283"/>
      <c r="BA199" s="283"/>
      <c r="BB199" s="283"/>
      <c r="BC199" s="283"/>
      <c r="BD199" s="283"/>
      <c r="BE199" s="283"/>
      <c r="BF199" s="283"/>
      <c r="BG199" s="283"/>
      <c r="BH199" s="283"/>
      <c r="BI199" s="283"/>
      <c r="BJ199" s="283"/>
      <c r="BK199" s="283"/>
      <c r="BL199" s="283"/>
      <c r="BM199" s="283"/>
      <c r="BN199" s="283"/>
      <c r="BO199" s="283"/>
      <c r="BP199" s="283"/>
      <c r="BQ199" s="283"/>
      <c r="BR199" s="283"/>
      <c r="BS199" s="283"/>
      <c r="BT199" s="283"/>
      <c r="BU199" s="283"/>
      <c r="BV199" s="283"/>
      <c r="BW199" s="283"/>
      <c r="BX199" s="283"/>
      <c r="BY199" s="283"/>
      <c r="BZ199" s="283"/>
      <c r="CA199" s="283"/>
      <c r="CB199" s="283"/>
      <c r="CC199" s="283"/>
      <c r="CD199" s="283"/>
      <c r="CE199" s="283"/>
      <c r="CF199" s="283"/>
      <c r="CG199" s="283"/>
      <c r="CH199" s="283"/>
      <c r="CI199" s="283"/>
      <c r="CJ199" s="283"/>
      <c r="CK199" s="283"/>
      <c r="CL199" s="283"/>
      <c r="CM199" s="283"/>
      <c r="CN199" s="283"/>
      <c r="CO199" s="283"/>
      <c r="CP199" s="283"/>
      <c r="CQ199" s="283"/>
    </row>
    <row r="200" spans="39:95" ht="26.25" hidden="1" customHeight="1" x14ac:dyDescent="0.3">
      <c r="AM200" s="283"/>
      <c r="AN200" s="283"/>
      <c r="AO200" s="283"/>
      <c r="AP200" s="283"/>
      <c r="AQ200" s="283"/>
      <c r="AR200" s="283"/>
      <c r="AS200" s="283"/>
      <c r="AT200" s="283"/>
      <c r="AU200" s="283"/>
      <c r="AV200" s="283"/>
      <c r="AW200" s="283"/>
      <c r="AX200" s="283"/>
      <c r="AY200" s="283"/>
      <c r="AZ200" s="283"/>
      <c r="BA200" s="283"/>
      <c r="BB200" s="283"/>
      <c r="BC200" s="283"/>
      <c r="BD200" s="283"/>
      <c r="BE200" s="283"/>
      <c r="BF200" s="283"/>
      <c r="BG200" s="283"/>
      <c r="BH200" s="283"/>
      <c r="BI200" s="283"/>
      <c r="BJ200" s="283"/>
      <c r="BK200" s="283"/>
      <c r="BL200" s="283"/>
      <c r="BM200" s="283"/>
      <c r="BN200" s="283"/>
      <c r="BO200" s="283"/>
      <c r="BP200" s="283"/>
      <c r="BQ200" s="283"/>
      <c r="BR200" s="283"/>
      <c r="BS200" s="283"/>
      <c r="BT200" s="283"/>
      <c r="BU200" s="283"/>
      <c r="BV200" s="283"/>
      <c r="BW200" s="283"/>
      <c r="BX200" s="283"/>
      <c r="BY200" s="283"/>
      <c r="BZ200" s="283"/>
      <c r="CA200" s="283"/>
      <c r="CB200" s="283"/>
      <c r="CC200" s="283"/>
      <c r="CD200" s="283"/>
      <c r="CE200" s="283"/>
      <c r="CF200" s="283"/>
      <c r="CG200" s="283"/>
      <c r="CH200" s="283"/>
      <c r="CI200" s="283"/>
      <c r="CJ200" s="283"/>
      <c r="CK200" s="283"/>
      <c r="CL200" s="283"/>
      <c r="CM200" s="283"/>
      <c r="CN200" s="283"/>
      <c r="CO200" s="283"/>
      <c r="CP200" s="283"/>
      <c r="CQ200" s="283"/>
    </row>
    <row r="201" spans="39:95" ht="26.25" hidden="1" customHeight="1" x14ac:dyDescent="0.3">
      <c r="AM201" s="283"/>
      <c r="AN201" s="283"/>
      <c r="AO201" s="283"/>
      <c r="AP201" s="283"/>
      <c r="AQ201" s="283"/>
      <c r="AR201" s="283"/>
      <c r="AS201" s="283"/>
      <c r="AT201" s="283"/>
      <c r="AU201" s="283"/>
      <c r="AV201" s="283"/>
      <c r="AW201" s="283"/>
      <c r="AX201" s="283"/>
      <c r="AY201" s="283"/>
      <c r="AZ201" s="283"/>
      <c r="BA201" s="283"/>
      <c r="BB201" s="283"/>
      <c r="BC201" s="283"/>
      <c r="BD201" s="283"/>
      <c r="BE201" s="283"/>
      <c r="BF201" s="283"/>
      <c r="BG201" s="283"/>
      <c r="BH201" s="283"/>
      <c r="BI201" s="283"/>
      <c r="BJ201" s="283"/>
      <c r="BK201" s="283"/>
      <c r="BL201" s="283"/>
      <c r="BM201" s="283"/>
      <c r="BN201" s="283"/>
      <c r="BO201" s="283"/>
      <c r="BP201" s="283"/>
      <c r="BQ201" s="283"/>
      <c r="BR201" s="283"/>
      <c r="BS201" s="283"/>
      <c r="BT201" s="283"/>
      <c r="BU201" s="283"/>
      <c r="BV201" s="283"/>
      <c r="BW201" s="283"/>
      <c r="BX201" s="283"/>
      <c r="BY201" s="283"/>
      <c r="BZ201" s="283"/>
      <c r="CA201" s="283"/>
      <c r="CB201" s="283"/>
      <c r="CC201" s="283"/>
      <c r="CD201" s="283"/>
      <c r="CE201" s="283"/>
      <c r="CF201" s="283"/>
      <c r="CG201" s="283"/>
      <c r="CH201" s="283"/>
      <c r="CI201" s="283"/>
      <c r="CJ201" s="283"/>
      <c r="CK201" s="283"/>
      <c r="CL201" s="283"/>
      <c r="CM201" s="283"/>
      <c r="CN201" s="283"/>
      <c r="CO201" s="283"/>
      <c r="CP201" s="283"/>
      <c r="CQ201" s="283"/>
    </row>
    <row r="202" spans="39:95" ht="26.25" hidden="1" customHeight="1" x14ac:dyDescent="0.3">
      <c r="AM202" s="283"/>
      <c r="AN202" s="283"/>
      <c r="AO202" s="283"/>
      <c r="AP202" s="283"/>
      <c r="AQ202" s="283"/>
      <c r="AR202" s="283"/>
      <c r="AS202" s="283"/>
      <c r="AT202" s="283"/>
      <c r="AU202" s="283"/>
      <c r="AV202" s="283"/>
      <c r="AW202" s="283"/>
      <c r="AX202" s="283"/>
      <c r="AY202" s="283"/>
      <c r="AZ202" s="283"/>
      <c r="BA202" s="283"/>
      <c r="BB202" s="283"/>
      <c r="BC202" s="283"/>
      <c r="BD202" s="283"/>
      <c r="BE202" s="283"/>
      <c r="BF202" s="283"/>
      <c r="BG202" s="283"/>
      <c r="BH202" s="283"/>
      <c r="BI202" s="283"/>
      <c r="BJ202" s="283"/>
      <c r="BK202" s="283"/>
      <c r="BL202" s="283"/>
      <c r="BM202" s="283"/>
      <c r="BN202" s="283"/>
      <c r="BO202" s="283"/>
      <c r="BP202" s="283"/>
      <c r="BQ202" s="283"/>
      <c r="BR202" s="283"/>
      <c r="BS202" s="283"/>
      <c r="BT202" s="283"/>
      <c r="BU202" s="283"/>
      <c r="BV202" s="283"/>
      <c r="BW202" s="283"/>
      <c r="BX202" s="283"/>
      <c r="BY202" s="283"/>
      <c r="BZ202" s="283"/>
      <c r="CA202" s="283"/>
      <c r="CB202" s="283"/>
      <c r="CC202" s="283"/>
      <c r="CD202" s="283"/>
      <c r="CE202" s="283"/>
      <c r="CF202" s="283"/>
      <c r="CG202" s="283"/>
      <c r="CH202" s="283"/>
      <c r="CI202" s="283"/>
      <c r="CJ202" s="283"/>
      <c r="CK202" s="283"/>
      <c r="CL202" s="283"/>
      <c r="CM202" s="283"/>
      <c r="CN202" s="283"/>
      <c r="CO202" s="283"/>
      <c r="CP202" s="283"/>
      <c r="CQ202" s="283"/>
    </row>
    <row r="203" spans="39:95" ht="26.25" hidden="1" customHeight="1" x14ac:dyDescent="0.3">
      <c r="AM203" s="283"/>
      <c r="AN203" s="283"/>
      <c r="AO203" s="283"/>
      <c r="AP203" s="283"/>
      <c r="AQ203" s="283"/>
      <c r="AR203" s="283"/>
      <c r="AS203" s="283"/>
      <c r="AT203" s="283"/>
      <c r="AU203" s="283"/>
      <c r="AV203" s="283"/>
      <c r="AW203" s="283"/>
      <c r="AX203" s="283"/>
      <c r="AY203" s="283"/>
      <c r="AZ203" s="283"/>
      <c r="BA203" s="283"/>
      <c r="BB203" s="283"/>
      <c r="BC203" s="283"/>
      <c r="BD203" s="283"/>
      <c r="BE203" s="283"/>
      <c r="BF203" s="283"/>
      <c r="BG203" s="283"/>
      <c r="BH203" s="283"/>
      <c r="BI203" s="283"/>
      <c r="BJ203" s="283"/>
      <c r="BK203" s="283"/>
      <c r="BL203" s="283"/>
      <c r="BM203" s="283"/>
      <c r="BN203" s="283"/>
      <c r="BO203" s="283"/>
      <c r="BP203" s="283"/>
      <c r="BQ203" s="283"/>
      <c r="BR203" s="283"/>
      <c r="BS203" s="283"/>
      <c r="BT203" s="283"/>
      <c r="BU203" s="283"/>
      <c r="BV203" s="283"/>
      <c r="BW203" s="283"/>
      <c r="BX203" s="283"/>
      <c r="BY203" s="283"/>
      <c r="BZ203" s="283"/>
      <c r="CA203" s="283"/>
      <c r="CB203" s="283"/>
      <c r="CC203" s="283"/>
      <c r="CD203" s="283"/>
      <c r="CE203" s="283"/>
      <c r="CF203" s="283"/>
      <c r="CG203" s="283"/>
      <c r="CH203" s="283"/>
      <c r="CI203" s="283"/>
      <c r="CJ203" s="283"/>
      <c r="CK203" s="283"/>
      <c r="CL203" s="283"/>
      <c r="CM203" s="283"/>
      <c r="CN203" s="283"/>
      <c r="CO203" s="283"/>
      <c r="CP203" s="283"/>
      <c r="CQ203" s="283"/>
    </row>
    <row r="204" spans="39:95" ht="26.25" hidden="1" customHeight="1" x14ac:dyDescent="0.3">
      <c r="AM204" s="283"/>
      <c r="AN204" s="283"/>
      <c r="AO204" s="283"/>
      <c r="AP204" s="283"/>
      <c r="AQ204" s="283"/>
      <c r="AR204" s="283"/>
      <c r="AS204" s="283"/>
      <c r="AT204" s="283"/>
      <c r="AU204" s="283"/>
      <c r="AV204" s="283"/>
      <c r="AW204" s="283"/>
      <c r="AX204" s="283"/>
      <c r="AY204" s="283"/>
      <c r="AZ204" s="283"/>
      <c r="BA204" s="283"/>
      <c r="BB204" s="283"/>
      <c r="BC204" s="283"/>
      <c r="BD204" s="283"/>
      <c r="BE204" s="283"/>
      <c r="BF204" s="283"/>
      <c r="BG204" s="283"/>
      <c r="BH204" s="283"/>
      <c r="BI204" s="283"/>
      <c r="BJ204" s="283"/>
      <c r="BK204" s="283"/>
      <c r="BL204" s="283"/>
      <c r="BM204" s="283"/>
      <c r="BN204" s="283"/>
      <c r="BO204" s="283"/>
      <c r="BP204" s="283"/>
      <c r="BQ204" s="283"/>
      <c r="BR204" s="283"/>
      <c r="BS204" s="283"/>
      <c r="BT204" s="283"/>
      <c r="BU204" s="283"/>
      <c r="BV204" s="283"/>
      <c r="BW204" s="283"/>
      <c r="BX204" s="283"/>
      <c r="BY204" s="283"/>
      <c r="BZ204" s="283"/>
      <c r="CA204" s="283"/>
      <c r="CB204" s="283"/>
      <c r="CC204" s="283"/>
      <c r="CD204" s="283"/>
      <c r="CE204" s="283"/>
      <c r="CF204" s="283"/>
      <c r="CG204" s="283"/>
      <c r="CH204" s="283"/>
      <c r="CI204" s="283"/>
      <c r="CJ204" s="283"/>
      <c r="CK204" s="283"/>
      <c r="CL204" s="283"/>
      <c r="CM204" s="283"/>
      <c r="CN204" s="283"/>
      <c r="CO204" s="283"/>
      <c r="CP204" s="283"/>
      <c r="CQ204" s="283"/>
    </row>
    <row r="205" spans="39:95" ht="26.25" hidden="1" customHeight="1" x14ac:dyDescent="0.3">
      <c r="AM205" s="283"/>
      <c r="AN205" s="283"/>
      <c r="AO205" s="283"/>
      <c r="AP205" s="283"/>
      <c r="AQ205" s="283"/>
      <c r="AR205" s="283"/>
      <c r="AS205" s="283"/>
      <c r="AT205" s="283"/>
      <c r="AU205" s="283"/>
      <c r="AV205" s="283"/>
      <c r="AW205" s="283"/>
      <c r="AX205" s="283"/>
      <c r="AY205" s="283"/>
      <c r="AZ205" s="283"/>
      <c r="BA205" s="283"/>
      <c r="BB205" s="283"/>
      <c r="BC205" s="283"/>
      <c r="BD205" s="283"/>
      <c r="BE205" s="283"/>
      <c r="BF205" s="283"/>
      <c r="BG205" s="283"/>
      <c r="BH205" s="283"/>
      <c r="BI205" s="283"/>
      <c r="BJ205" s="283"/>
      <c r="BK205" s="283"/>
      <c r="BL205" s="283"/>
      <c r="BM205" s="283"/>
      <c r="BN205" s="283"/>
      <c r="BO205" s="283"/>
      <c r="BP205" s="283"/>
      <c r="BQ205" s="283"/>
      <c r="BR205" s="283"/>
      <c r="BS205" s="283"/>
      <c r="BT205" s="283"/>
      <c r="BU205" s="283"/>
      <c r="BV205" s="283"/>
      <c r="BW205" s="283"/>
      <c r="BX205" s="283"/>
      <c r="BY205" s="283"/>
      <c r="BZ205" s="283"/>
      <c r="CA205" s="283"/>
      <c r="CB205" s="283"/>
      <c r="CC205" s="283"/>
      <c r="CD205" s="283"/>
      <c r="CE205" s="283"/>
      <c r="CF205" s="283"/>
      <c r="CG205" s="283"/>
      <c r="CH205" s="283"/>
      <c r="CI205" s="283"/>
      <c r="CJ205" s="283"/>
      <c r="CK205" s="283"/>
      <c r="CL205" s="283"/>
      <c r="CM205" s="283"/>
      <c r="CN205" s="283"/>
      <c r="CO205" s="283"/>
      <c r="CP205" s="283"/>
      <c r="CQ205" s="283"/>
    </row>
    <row r="206" spans="39:95" ht="26.25" hidden="1" customHeight="1" x14ac:dyDescent="0.3">
      <c r="AM206" s="283"/>
      <c r="AN206" s="283"/>
      <c r="AO206" s="283"/>
      <c r="AP206" s="283"/>
      <c r="AQ206" s="283"/>
      <c r="AR206" s="283"/>
      <c r="AS206" s="283"/>
      <c r="AT206" s="283"/>
      <c r="AU206" s="283"/>
      <c r="AV206" s="283"/>
      <c r="AW206" s="283"/>
      <c r="AX206" s="283"/>
      <c r="AY206" s="283"/>
      <c r="AZ206" s="283"/>
      <c r="BA206" s="283"/>
      <c r="BB206" s="283"/>
      <c r="BC206" s="283"/>
      <c r="BD206" s="283"/>
      <c r="BE206" s="283"/>
      <c r="BF206" s="283"/>
      <c r="BG206" s="283"/>
      <c r="BH206" s="283"/>
      <c r="BI206" s="283"/>
      <c r="BJ206" s="283"/>
      <c r="BK206" s="283"/>
      <c r="BL206" s="283"/>
      <c r="BM206" s="283"/>
      <c r="BN206" s="283"/>
      <c r="BO206" s="283"/>
      <c r="BP206" s="283"/>
      <c r="BQ206" s="283"/>
      <c r="BR206" s="283"/>
      <c r="BS206" s="283"/>
      <c r="BT206" s="283"/>
      <c r="BU206" s="283"/>
      <c r="BV206" s="283"/>
      <c r="BW206" s="283"/>
      <c r="BX206" s="283"/>
      <c r="BY206" s="283"/>
      <c r="BZ206" s="283"/>
      <c r="CA206" s="283"/>
      <c r="CB206" s="283"/>
      <c r="CC206" s="283"/>
      <c r="CD206" s="283"/>
      <c r="CE206" s="283"/>
      <c r="CF206" s="283"/>
      <c r="CG206" s="283"/>
      <c r="CH206" s="283"/>
      <c r="CI206" s="283"/>
      <c r="CJ206" s="283"/>
      <c r="CK206" s="283"/>
      <c r="CL206" s="283"/>
      <c r="CM206" s="283"/>
      <c r="CN206" s="283"/>
      <c r="CO206" s="283"/>
      <c r="CP206" s="283"/>
      <c r="CQ206" s="283"/>
    </row>
    <row r="207" spans="39:95" ht="26.25" hidden="1" customHeight="1" x14ac:dyDescent="0.3">
      <c r="AM207" s="283"/>
      <c r="AN207" s="283"/>
      <c r="AO207" s="283"/>
      <c r="AP207" s="283"/>
      <c r="AQ207" s="283"/>
      <c r="AR207" s="283"/>
      <c r="AS207" s="283"/>
      <c r="AT207" s="283"/>
      <c r="AU207" s="283"/>
      <c r="AV207" s="283"/>
      <c r="AW207" s="283"/>
      <c r="AX207" s="283"/>
      <c r="AY207" s="283"/>
      <c r="AZ207" s="283"/>
      <c r="BA207" s="283"/>
      <c r="BB207" s="283"/>
      <c r="BC207" s="283"/>
      <c r="BD207" s="283"/>
      <c r="BE207" s="283"/>
      <c r="BF207" s="283"/>
      <c r="BG207" s="283"/>
      <c r="BH207" s="283"/>
      <c r="BI207" s="283"/>
      <c r="BJ207" s="283"/>
      <c r="BK207" s="283"/>
      <c r="BL207" s="283"/>
      <c r="BM207" s="283"/>
      <c r="BN207" s="283"/>
      <c r="BO207" s="283"/>
      <c r="BP207" s="283"/>
      <c r="BQ207" s="283"/>
      <c r="BR207" s="283"/>
      <c r="BS207" s="283"/>
      <c r="BT207" s="283"/>
      <c r="BU207" s="283"/>
      <c r="BV207" s="283"/>
      <c r="BW207" s="283"/>
      <c r="BX207" s="283"/>
      <c r="BY207" s="283"/>
      <c r="BZ207" s="283"/>
      <c r="CA207" s="283"/>
      <c r="CB207" s="283"/>
      <c r="CC207" s="283"/>
      <c r="CD207" s="283"/>
      <c r="CE207" s="283"/>
      <c r="CF207" s="283"/>
      <c r="CG207" s="283"/>
      <c r="CH207" s="283"/>
      <c r="CI207" s="283"/>
      <c r="CJ207" s="283"/>
      <c r="CK207" s="283"/>
      <c r="CL207" s="283"/>
      <c r="CM207" s="283"/>
      <c r="CN207" s="283"/>
      <c r="CO207" s="283"/>
      <c r="CP207" s="283"/>
      <c r="CQ207" s="283"/>
    </row>
    <row r="208" spans="39:95" ht="26.25" hidden="1" customHeight="1" x14ac:dyDescent="0.3">
      <c r="AM208" s="283"/>
      <c r="AN208" s="283"/>
      <c r="AO208" s="283"/>
      <c r="AP208" s="283"/>
      <c r="AQ208" s="283"/>
      <c r="AR208" s="283"/>
      <c r="AS208" s="283"/>
      <c r="AT208" s="283"/>
      <c r="AU208" s="283"/>
      <c r="AV208" s="283"/>
      <c r="AW208" s="283"/>
      <c r="AX208" s="283"/>
      <c r="AY208" s="283"/>
      <c r="AZ208" s="283"/>
      <c r="BA208" s="283"/>
      <c r="BB208" s="283"/>
      <c r="BC208" s="283"/>
      <c r="BD208" s="283"/>
      <c r="BE208" s="283"/>
      <c r="BF208" s="283"/>
      <c r="BG208" s="283"/>
      <c r="BH208" s="283"/>
      <c r="BI208" s="283"/>
      <c r="BJ208" s="283"/>
      <c r="BK208" s="283"/>
      <c r="BL208" s="283"/>
      <c r="BM208" s="283"/>
      <c r="BN208" s="283"/>
      <c r="BO208" s="283"/>
      <c r="BP208" s="283"/>
      <c r="BQ208" s="283"/>
      <c r="BR208" s="283"/>
      <c r="BS208" s="283"/>
      <c r="BT208" s="283"/>
      <c r="BU208" s="283"/>
      <c r="BV208" s="283"/>
      <c r="BW208" s="283"/>
      <c r="BX208" s="283"/>
      <c r="BY208" s="283"/>
      <c r="BZ208" s="283"/>
      <c r="CA208" s="283"/>
      <c r="CB208" s="283"/>
      <c r="CC208" s="283"/>
      <c r="CD208" s="283"/>
      <c r="CE208" s="283"/>
      <c r="CF208" s="283"/>
      <c r="CG208" s="283"/>
      <c r="CH208" s="283"/>
      <c r="CI208" s="283"/>
      <c r="CJ208" s="283"/>
      <c r="CK208" s="283"/>
      <c r="CL208" s="283"/>
      <c r="CM208" s="283"/>
      <c r="CN208" s="283"/>
      <c r="CO208" s="283"/>
      <c r="CP208" s="283"/>
      <c r="CQ208" s="283"/>
    </row>
    <row r="209" spans="39:95" ht="26.25" hidden="1" customHeight="1" x14ac:dyDescent="0.3">
      <c r="AM209" s="283"/>
      <c r="AN209" s="283"/>
      <c r="AO209" s="283"/>
      <c r="AP209" s="283"/>
      <c r="AQ209" s="283"/>
      <c r="AR209" s="283"/>
      <c r="AS209" s="283"/>
      <c r="AT209" s="283"/>
      <c r="AU209" s="283"/>
      <c r="AV209" s="283"/>
      <c r="AW209" s="283"/>
      <c r="AX209" s="283"/>
      <c r="AY209" s="283"/>
      <c r="AZ209" s="283"/>
      <c r="BA209" s="283"/>
      <c r="BB209" s="283"/>
      <c r="BC209" s="283"/>
      <c r="BD209" s="283"/>
      <c r="BE209" s="283"/>
      <c r="BF209" s="283"/>
      <c r="BG209" s="283"/>
      <c r="BH209" s="283"/>
      <c r="BI209" s="283"/>
      <c r="BJ209" s="283"/>
      <c r="BK209" s="283"/>
      <c r="BL209" s="283"/>
      <c r="BM209" s="283"/>
      <c r="BN209" s="283"/>
      <c r="BO209" s="283"/>
      <c r="BP209" s="283"/>
      <c r="BQ209" s="283"/>
      <c r="BR209" s="283"/>
      <c r="BS209" s="283"/>
      <c r="BT209" s="283"/>
      <c r="BU209" s="283"/>
      <c r="BV209" s="283"/>
      <c r="BW209" s="283"/>
      <c r="BX209" s="283"/>
      <c r="BY209" s="283"/>
      <c r="BZ209" s="283"/>
      <c r="CA209" s="283"/>
      <c r="CB209" s="283"/>
      <c r="CC209" s="283"/>
      <c r="CD209" s="283"/>
      <c r="CE209" s="283"/>
      <c r="CF209" s="283"/>
      <c r="CG209" s="283"/>
      <c r="CH209" s="283"/>
      <c r="CI209" s="283"/>
      <c r="CJ209" s="283"/>
      <c r="CK209" s="283"/>
      <c r="CL209" s="283"/>
      <c r="CM209" s="283"/>
      <c r="CN209" s="283"/>
      <c r="CO209" s="283"/>
      <c r="CP209" s="283"/>
      <c r="CQ209" s="283"/>
    </row>
    <row r="210" spans="39:95" ht="26.25" hidden="1" customHeight="1" x14ac:dyDescent="0.3">
      <c r="AM210" s="283"/>
      <c r="AN210" s="283"/>
      <c r="AO210" s="283"/>
      <c r="AP210" s="283"/>
      <c r="AQ210" s="283"/>
      <c r="AR210" s="283"/>
      <c r="AS210" s="283"/>
      <c r="AT210" s="283"/>
      <c r="AU210" s="283"/>
      <c r="AV210" s="283"/>
      <c r="AW210" s="283"/>
      <c r="AX210" s="283"/>
      <c r="AY210" s="283"/>
      <c r="AZ210" s="283"/>
      <c r="BA210" s="283"/>
      <c r="BB210" s="283"/>
      <c r="BC210" s="283"/>
      <c r="BD210" s="283"/>
      <c r="BE210" s="283"/>
      <c r="BF210" s="283"/>
      <c r="BG210" s="283"/>
      <c r="BH210" s="283"/>
      <c r="BI210" s="283"/>
      <c r="BJ210" s="283"/>
      <c r="BK210" s="283"/>
      <c r="BL210" s="283"/>
      <c r="BM210" s="283"/>
      <c r="BN210" s="283"/>
      <c r="BO210" s="283"/>
      <c r="BP210" s="283"/>
      <c r="BQ210" s="283"/>
      <c r="BR210" s="283"/>
      <c r="BS210" s="283"/>
      <c r="BT210" s="283"/>
      <c r="BU210" s="283"/>
      <c r="BV210" s="283"/>
      <c r="BW210" s="283"/>
      <c r="BX210" s="283"/>
      <c r="BY210" s="283"/>
      <c r="BZ210" s="283"/>
      <c r="CA210" s="283"/>
      <c r="CB210" s="283"/>
      <c r="CC210" s="283"/>
      <c r="CD210" s="283"/>
      <c r="CE210" s="283"/>
      <c r="CF210" s="283"/>
      <c r="CG210" s="283"/>
      <c r="CH210" s="283"/>
      <c r="CI210" s="283"/>
      <c r="CJ210" s="283"/>
      <c r="CK210" s="283"/>
      <c r="CL210" s="283"/>
      <c r="CM210" s="283"/>
      <c r="CN210" s="283"/>
      <c r="CO210" s="283"/>
      <c r="CP210" s="283"/>
      <c r="CQ210" s="283"/>
    </row>
    <row r="211" spans="39:95" ht="26.25" hidden="1" customHeight="1" x14ac:dyDescent="0.3">
      <c r="AM211" s="283"/>
      <c r="AN211" s="283"/>
      <c r="AO211" s="283"/>
      <c r="AP211" s="283"/>
      <c r="AQ211" s="283"/>
      <c r="AR211" s="283"/>
      <c r="AS211" s="283"/>
      <c r="AT211" s="283"/>
      <c r="AU211" s="283"/>
      <c r="AV211" s="283"/>
      <c r="AW211" s="283"/>
      <c r="AX211" s="283"/>
      <c r="AY211" s="283"/>
      <c r="AZ211" s="283"/>
      <c r="BA211" s="283"/>
      <c r="BB211" s="283"/>
      <c r="BC211" s="283"/>
      <c r="BD211" s="283"/>
      <c r="BE211" s="283"/>
      <c r="BF211" s="283"/>
      <c r="BG211" s="283"/>
      <c r="BH211" s="283"/>
      <c r="BI211" s="283"/>
      <c r="BJ211" s="283"/>
      <c r="BK211" s="283"/>
      <c r="BL211" s="283"/>
      <c r="BM211" s="283"/>
      <c r="BN211" s="283"/>
      <c r="BO211" s="283"/>
      <c r="BP211" s="283"/>
      <c r="BQ211" s="283"/>
      <c r="BR211" s="283"/>
      <c r="BS211" s="283"/>
      <c r="BT211" s="283"/>
      <c r="BU211" s="283"/>
      <c r="BV211" s="283"/>
      <c r="BW211" s="283"/>
      <c r="BX211" s="283"/>
      <c r="BY211" s="283"/>
      <c r="BZ211" s="283"/>
      <c r="CA211" s="283"/>
      <c r="CB211" s="283"/>
      <c r="CC211" s="283"/>
      <c r="CD211" s="283"/>
      <c r="CE211" s="283"/>
      <c r="CF211" s="283"/>
      <c r="CG211" s="283"/>
      <c r="CH211" s="283"/>
      <c r="CI211" s="283"/>
      <c r="CJ211" s="283"/>
      <c r="CK211" s="283"/>
      <c r="CL211" s="283"/>
      <c r="CM211" s="283"/>
      <c r="CN211" s="283"/>
      <c r="CO211" s="283"/>
      <c r="CP211" s="283"/>
      <c r="CQ211" s="283"/>
    </row>
    <row r="212" spans="39:95" ht="26.25" hidden="1" customHeight="1" x14ac:dyDescent="0.3">
      <c r="AM212" s="283"/>
      <c r="AN212" s="283"/>
      <c r="AO212" s="283"/>
      <c r="AP212" s="283"/>
      <c r="AQ212" s="283"/>
      <c r="AR212" s="283"/>
      <c r="AS212" s="283"/>
      <c r="AT212" s="283"/>
      <c r="AU212" s="283"/>
      <c r="AV212" s="283"/>
      <c r="AW212" s="283"/>
      <c r="AX212" s="283"/>
      <c r="AY212" s="283"/>
      <c r="AZ212" s="283"/>
      <c r="BA212" s="283"/>
      <c r="BB212" s="283"/>
      <c r="BC212" s="283"/>
      <c r="BD212" s="283"/>
      <c r="BE212" s="283"/>
      <c r="BF212" s="283"/>
      <c r="BG212" s="283"/>
      <c r="BH212" s="283"/>
      <c r="BI212" s="283"/>
      <c r="BJ212" s="283"/>
      <c r="BK212" s="283"/>
      <c r="BL212" s="283"/>
      <c r="BM212" s="283"/>
      <c r="BN212" s="283"/>
      <c r="BO212" s="283"/>
      <c r="BP212" s="283"/>
      <c r="BQ212" s="283"/>
      <c r="BR212" s="283"/>
      <c r="BS212" s="283"/>
      <c r="BT212" s="283"/>
      <c r="BU212" s="283"/>
      <c r="BV212" s="283"/>
      <c r="BW212" s="283"/>
      <c r="BX212" s="283"/>
      <c r="BY212" s="283"/>
      <c r="BZ212" s="283"/>
      <c r="CA212" s="283"/>
      <c r="CB212" s="283"/>
      <c r="CC212" s="283"/>
      <c r="CD212" s="283"/>
      <c r="CE212" s="283"/>
      <c r="CF212" s="283"/>
      <c r="CG212" s="283"/>
      <c r="CH212" s="283"/>
      <c r="CI212" s="283"/>
      <c r="CJ212" s="283"/>
      <c r="CK212" s="283"/>
      <c r="CL212" s="283"/>
      <c r="CM212" s="283"/>
      <c r="CN212" s="283"/>
      <c r="CO212" s="283"/>
      <c r="CP212" s="283"/>
      <c r="CQ212" s="283"/>
    </row>
    <row r="213" spans="39:95" ht="26.25" hidden="1" customHeight="1" x14ac:dyDescent="0.3">
      <c r="AM213" s="283"/>
      <c r="AN213" s="283"/>
      <c r="AO213" s="283"/>
      <c r="AP213" s="283"/>
      <c r="AQ213" s="283"/>
      <c r="AR213" s="283"/>
      <c r="AS213" s="283"/>
      <c r="AT213" s="283"/>
      <c r="AU213" s="283"/>
      <c r="AV213" s="283"/>
      <c r="AW213" s="283"/>
      <c r="AX213" s="283"/>
      <c r="AY213" s="283"/>
      <c r="AZ213" s="283"/>
      <c r="BA213" s="283"/>
      <c r="BB213" s="283"/>
      <c r="BC213" s="283"/>
      <c r="BD213" s="283"/>
      <c r="BE213" s="283"/>
      <c r="BF213" s="283"/>
      <c r="BG213" s="283"/>
      <c r="BH213" s="283"/>
      <c r="BI213" s="283"/>
      <c r="BJ213" s="283"/>
      <c r="BK213" s="283"/>
      <c r="BL213" s="283"/>
      <c r="BM213" s="283"/>
      <c r="BN213" s="283"/>
      <c r="BO213" s="283"/>
      <c r="BP213" s="283"/>
      <c r="BQ213" s="283"/>
      <c r="BR213" s="283"/>
      <c r="BS213" s="283"/>
      <c r="BT213" s="283"/>
      <c r="BU213" s="283"/>
      <c r="BV213" s="283"/>
      <c r="BW213" s="283"/>
      <c r="BX213" s="283"/>
      <c r="BY213" s="283"/>
      <c r="BZ213" s="283"/>
      <c r="CA213" s="283"/>
      <c r="CB213" s="283"/>
      <c r="CC213" s="283"/>
      <c r="CD213" s="283"/>
      <c r="CE213" s="283"/>
      <c r="CF213" s="283"/>
      <c r="CG213" s="283"/>
      <c r="CH213" s="283"/>
      <c r="CI213" s="283"/>
      <c r="CJ213" s="283"/>
      <c r="CK213" s="283"/>
      <c r="CL213" s="283"/>
      <c r="CM213" s="283"/>
      <c r="CN213" s="283"/>
      <c r="CO213" s="283"/>
      <c r="CP213" s="283"/>
      <c r="CQ213" s="283"/>
    </row>
    <row r="214" spans="39:95" ht="26.25" hidden="1" customHeight="1" x14ac:dyDescent="0.3">
      <c r="AM214" s="283"/>
      <c r="AN214" s="283"/>
      <c r="AO214" s="283"/>
      <c r="AP214" s="283"/>
      <c r="AQ214" s="283"/>
      <c r="AR214" s="283"/>
      <c r="AS214" s="283"/>
      <c r="AT214" s="283"/>
      <c r="AU214" s="283"/>
      <c r="AV214" s="283"/>
      <c r="AW214" s="283"/>
      <c r="AX214" s="283"/>
      <c r="AY214" s="283"/>
      <c r="AZ214" s="283"/>
      <c r="BA214" s="283"/>
      <c r="BB214" s="283"/>
      <c r="BC214" s="283"/>
      <c r="BD214" s="283"/>
      <c r="BE214" s="283"/>
      <c r="BF214" s="283"/>
      <c r="BG214" s="283"/>
      <c r="BH214" s="283"/>
      <c r="BI214" s="283"/>
      <c r="BJ214" s="283"/>
      <c r="BK214" s="283"/>
      <c r="BL214" s="283"/>
      <c r="BM214" s="283"/>
      <c r="BN214" s="283"/>
      <c r="BO214" s="283"/>
      <c r="BP214" s="283"/>
      <c r="BQ214" s="283"/>
      <c r="BR214" s="283"/>
      <c r="BS214" s="283"/>
      <c r="BT214" s="283"/>
      <c r="BU214" s="283"/>
      <c r="BV214" s="283"/>
      <c r="BW214" s="283"/>
      <c r="BX214" s="283"/>
      <c r="BY214" s="283"/>
      <c r="BZ214" s="283"/>
      <c r="CA214" s="283"/>
      <c r="CB214" s="283"/>
      <c r="CC214" s="283"/>
      <c r="CD214" s="283"/>
      <c r="CE214" s="283"/>
      <c r="CF214" s="283"/>
      <c r="CG214" s="283"/>
      <c r="CH214" s="283"/>
      <c r="CI214" s="283"/>
      <c r="CJ214" s="283"/>
      <c r="CK214" s="283"/>
      <c r="CL214" s="283"/>
      <c r="CM214" s="283"/>
      <c r="CN214" s="283"/>
      <c r="CO214" s="283"/>
      <c r="CP214" s="283"/>
      <c r="CQ214" s="283"/>
    </row>
    <row r="215" spans="39:95" ht="26.25" hidden="1" customHeight="1" x14ac:dyDescent="0.3">
      <c r="AM215" s="283"/>
      <c r="AN215" s="283"/>
      <c r="AO215" s="283"/>
      <c r="AP215" s="283"/>
      <c r="AQ215" s="283"/>
      <c r="AR215" s="283"/>
      <c r="AS215" s="283"/>
      <c r="AT215" s="283"/>
      <c r="AU215" s="283"/>
      <c r="AV215" s="283"/>
      <c r="AW215" s="283"/>
      <c r="AX215" s="283"/>
      <c r="AY215" s="283"/>
      <c r="AZ215" s="283"/>
      <c r="BA215" s="283"/>
      <c r="BB215" s="283"/>
      <c r="BC215" s="283"/>
      <c r="BD215" s="283"/>
      <c r="BE215" s="283"/>
      <c r="BF215" s="283"/>
      <c r="BG215" s="283"/>
      <c r="BH215" s="283"/>
      <c r="BI215" s="283"/>
      <c r="BJ215" s="283"/>
      <c r="BK215" s="283"/>
      <c r="BL215" s="283"/>
      <c r="BM215" s="283"/>
      <c r="BN215" s="283"/>
      <c r="BO215" s="283"/>
      <c r="BP215" s="283"/>
      <c r="BQ215" s="283"/>
      <c r="BR215" s="283"/>
      <c r="BS215" s="283"/>
      <c r="BT215" s="283"/>
      <c r="BU215" s="283"/>
      <c r="BV215" s="283"/>
      <c r="BW215" s="283"/>
      <c r="BX215" s="283"/>
      <c r="BY215" s="283"/>
      <c r="BZ215" s="283"/>
      <c r="CA215" s="283"/>
      <c r="CB215" s="283"/>
      <c r="CC215" s="283"/>
      <c r="CD215" s="283"/>
      <c r="CE215" s="283"/>
      <c r="CF215" s="283"/>
      <c r="CG215" s="283"/>
      <c r="CH215" s="283"/>
      <c r="CI215" s="283"/>
      <c r="CJ215" s="283"/>
      <c r="CK215" s="283"/>
      <c r="CL215" s="283"/>
      <c r="CM215" s="283"/>
      <c r="CN215" s="283"/>
      <c r="CO215" s="283"/>
      <c r="CP215" s="283"/>
      <c r="CQ215" s="283"/>
    </row>
    <row r="216" spans="39:95" ht="26.25" hidden="1" customHeight="1" x14ac:dyDescent="0.3">
      <c r="AM216" s="283"/>
      <c r="AN216" s="283"/>
      <c r="AO216" s="283"/>
      <c r="AP216" s="283"/>
      <c r="AQ216" s="283"/>
      <c r="AR216" s="283"/>
      <c r="AS216" s="283"/>
      <c r="AT216" s="283"/>
      <c r="AU216" s="283"/>
      <c r="AV216" s="283"/>
      <c r="AW216" s="283"/>
      <c r="AX216" s="283"/>
      <c r="AY216" s="283"/>
      <c r="AZ216" s="283"/>
      <c r="BA216" s="283"/>
      <c r="BB216" s="283"/>
      <c r="BC216" s="283"/>
      <c r="BD216" s="283"/>
      <c r="BE216" s="283"/>
      <c r="BF216" s="283"/>
      <c r="BG216" s="283"/>
      <c r="BH216" s="283"/>
      <c r="BI216" s="283"/>
      <c r="BJ216" s="283"/>
      <c r="BK216" s="283"/>
      <c r="BL216" s="283"/>
      <c r="BM216" s="283"/>
      <c r="BN216" s="283"/>
      <c r="BO216" s="283"/>
      <c r="BP216" s="283"/>
      <c r="BQ216" s="283"/>
      <c r="BR216" s="283"/>
      <c r="BS216" s="283"/>
      <c r="BT216" s="283"/>
      <c r="BU216" s="283"/>
      <c r="BV216" s="283"/>
      <c r="BW216" s="283"/>
      <c r="BX216" s="283"/>
      <c r="BY216" s="283"/>
      <c r="BZ216" s="283"/>
      <c r="CA216" s="283"/>
      <c r="CB216" s="283"/>
      <c r="CC216" s="283"/>
      <c r="CD216" s="283"/>
      <c r="CE216" s="283"/>
      <c r="CF216" s="283"/>
      <c r="CG216" s="283"/>
      <c r="CH216" s="283"/>
      <c r="CI216" s="283"/>
      <c r="CJ216" s="283"/>
      <c r="CK216" s="283"/>
      <c r="CL216" s="283"/>
      <c r="CM216" s="283"/>
      <c r="CN216" s="283"/>
      <c r="CO216" s="283"/>
      <c r="CP216" s="283"/>
      <c r="CQ216" s="283"/>
    </row>
    <row r="217" spans="39:95" ht="26.25" hidden="1" customHeight="1" x14ac:dyDescent="0.3">
      <c r="AM217" s="283"/>
      <c r="AN217" s="283"/>
      <c r="AO217" s="283"/>
      <c r="AP217" s="283"/>
      <c r="AQ217" s="283"/>
      <c r="AR217" s="283"/>
      <c r="AS217" s="283"/>
      <c r="AT217" s="283"/>
      <c r="AU217" s="283"/>
      <c r="AV217" s="283"/>
      <c r="AW217" s="283"/>
      <c r="AX217" s="283"/>
      <c r="AY217" s="283"/>
      <c r="AZ217" s="283"/>
      <c r="BA217" s="283"/>
      <c r="BB217" s="283"/>
      <c r="BC217" s="283"/>
      <c r="BD217" s="283"/>
      <c r="BE217" s="283"/>
      <c r="BF217" s="283"/>
      <c r="BG217" s="283"/>
      <c r="BH217" s="283"/>
      <c r="BI217" s="283"/>
      <c r="BJ217" s="283"/>
      <c r="BK217" s="283"/>
      <c r="BL217" s="283"/>
      <c r="BM217" s="283"/>
      <c r="BN217" s="283"/>
      <c r="BO217" s="283"/>
      <c r="BP217" s="283"/>
      <c r="BQ217" s="283"/>
      <c r="BR217" s="283"/>
      <c r="BS217" s="283"/>
      <c r="BT217" s="283"/>
      <c r="BU217" s="283"/>
      <c r="BV217" s="283"/>
      <c r="BW217" s="283"/>
      <c r="BX217" s="283"/>
      <c r="BY217" s="283"/>
      <c r="BZ217" s="283"/>
      <c r="CA217" s="283"/>
      <c r="CB217" s="283"/>
      <c r="CC217" s="283"/>
      <c r="CD217" s="283"/>
      <c r="CE217" s="283"/>
      <c r="CF217" s="283"/>
      <c r="CG217" s="283"/>
      <c r="CH217" s="283"/>
      <c r="CI217" s="283"/>
      <c r="CJ217" s="283"/>
      <c r="CK217" s="283"/>
      <c r="CL217" s="283"/>
      <c r="CM217" s="283"/>
      <c r="CN217" s="283"/>
      <c r="CO217" s="283"/>
      <c r="CP217" s="283"/>
      <c r="CQ217" s="283"/>
    </row>
    <row r="218" spans="39:95" ht="26.25" hidden="1" customHeight="1" x14ac:dyDescent="0.3">
      <c r="AM218" s="283"/>
      <c r="AN218" s="283"/>
      <c r="AO218" s="283"/>
      <c r="AP218" s="283"/>
      <c r="AQ218" s="283"/>
      <c r="AR218" s="283"/>
      <c r="AS218" s="283"/>
      <c r="AT218" s="283"/>
      <c r="AU218" s="283"/>
      <c r="AV218" s="283"/>
      <c r="AW218" s="283"/>
      <c r="AX218" s="283"/>
      <c r="AY218" s="283"/>
      <c r="AZ218" s="283"/>
      <c r="BA218" s="283"/>
      <c r="BB218" s="283"/>
      <c r="BC218" s="283"/>
      <c r="BD218" s="283"/>
      <c r="BE218" s="283"/>
      <c r="BF218" s="283"/>
      <c r="BG218" s="283"/>
      <c r="BH218" s="283"/>
      <c r="BI218" s="283"/>
      <c r="BJ218" s="283"/>
      <c r="BK218" s="283"/>
      <c r="BL218" s="283"/>
      <c r="BM218" s="283"/>
      <c r="BN218" s="283"/>
      <c r="BO218" s="283"/>
      <c r="BP218" s="283"/>
      <c r="BQ218" s="283"/>
      <c r="BR218" s="283"/>
      <c r="BS218" s="283"/>
      <c r="BT218" s="283"/>
      <c r="BU218" s="283"/>
      <c r="BV218" s="283"/>
      <c r="BW218" s="283"/>
      <c r="BX218" s="283"/>
      <c r="BY218" s="283"/>
      <c r="BZ218" s="283"/>
      <c r="CA218" s="283"/>
      <c r="CB218" s="283"/>
      <c r="CC218" s="283"/>
      <c r="CD218" s="283"/>
      <c r="CE218" s="283"/>
      <c r="CF218" s="283"/>
      <c r="CG218" s="283"/>
      <c r="CH218" s="283"/>
      <c r="CI218" s="283"/>
      <c r="CJ218" s="283"/>
      <c r="CK218" s="283"/>
      <c r="CL218" s="283"/>
      <c r="CM218" s="283"/>
      <c r="CN218" s="283"/>
      <c r="CO218" s="283"/>
      <c r="CP218" s="283"/>
      <c r="CQ218" s="283"/>
    </row>
    <row r="219" spans="39:95" ht="26.25" hidden="1" customHeight="1" x14ac:dyDescent="0.3">
      <c r="AM219" s="283"/>
      <c r="AN219" s="283"/>
      <c r="AO219" s="283"/>
      <c r="AP219" s="283"/>
      <c r="AQ219" s="283"/>
      <c r="AR219" s="283"/>
      <c r="AS219" s="283"/>
      <c r="AT219" s="283"/>
      <c r="AU219" s="283"/>
      <c r="AV219" s="283"/>
      <c r="AW219" s="283"/>
      <c r="AX219" s="283"/>
      <c r="AY219" s="283"/>
      <c r="AZ219" s="283"/>
      <c r="BA219" s="283"/>
      <c r="BB219" s="283"/>
      <c r="BC219" s="283"/>
      <c r="BD219" s="283"/>
      <c r="BE219" s="283"/>
      <c r="BF219" s="283"/>
      <c r="BG219" s="283"/>
      <c r="BH219" s="283"/>
      <c r="BI219" s="283"/>
      <c r="BJ219" s="283"/>
      <c r="BK219" s="283"/>
      <c r="BL219" s="283"/>
      <c r="BM219" s="283"/>
      <c r="BN219" s="283"/>
      <c r="BO219" s="283"/>
      <c r="BP219" s="283"/>
      <c r="BQ219" s="283"/>
      <c r="BR219" s="283"/>
      <c r="BS219" s="283"/>
      <c r="BT219" s="283"/>
      <c r="BU219" s="283"/>
      <c r="BV219" s="283"/>
      <c r="BW219" s="283"/>
      <c r="BX219" s="283"/>
      <c r="BY219" s="283"/>
      <c r="BZ219" s="283"/>
      <c r="CA219" s="283"/>
      <c r="CB219" s="283"/>
      <c r="CC219" s="283"/>
      <c r="CD219" s="283"/>
      <c r="CE219" s="283"/>
      <c r="CF219" s="283"/>
      <c r="CG219" s="283"/>
      <c r="CH219" s="283"/>
      <c r="CI219" s="283"/>
      <c r="CJ219" s="283"/>
      <c r="CK219" s="283"/>
      <c r="CL219" s="283"/>
      <c r="CM219" s="283"/>
      <c r="CN219" s="283"/>
      <c r="CO219" s="283"/>
      <c r="CP219" s="283"/>
      <c r="CQ219" s="283"/>
    </row>
    <row r="220" spans="39:95" ht="26.25" hidden="1" customHeight="1" x14ac:dyDescent="0.3">
      <c r="AM220" s="283"/>
      <c r="AN220" s="283"/>
      <c r="AO220" s="283"/>
      <c r="AP220" s="283"/>
      <c r="AQ220" s="283"/>
      <c r="AR220" s="283"/>
      <c r="AS220" s="283"/>
      <c r="AT220" s="283"/>
      <c r="AU220" s="283"/>
      <c r="AV220" s="283"/>
      <c r="AW220" s="283"/>
      <c r="AX220" s="283"/>
      <c r="AY220" s="283"/>
      <c r="AZ220" s="283"/>
      <c r="BA220" s="283"/>
      <c r="BB220" s="283"/>
      <c r="BC220" s="283"/>
      <c r="BD220" s="283"/>
      <c r="BE220" s="283"/>
      <c r="BF220" s="283"/>
      <c r="BG220" s="283"/>
      <c r="BH220" s="283"/>
      <c r="BI220" s="283"/>
      <c r="BJ220" s="283"/>
      <c r="BK220" s="283"/>
      <c r="BL220" s="283"/>
      <c r="BM220" s="283"/>
      <c r="BN220" s="283"/>
      <c r="BO220" s="283"/>
      <c r="BP220" s="283"/>
      <c r="BQ220" s="283"/>
      <c r="BR220" s="283"/>
      <c r="BS220" s="283"/>
      <c r="BT220" s="283"/>
      <c r="BU220" s="283"/>
      <c r="BV220" s="283"/>
      <c r="BW220" s="283"/>
      <c r="BX220" s="283"/>
      <c r="BY220" s="283"/>
      <c r="BZ220" s="283"/>
      <c r="CA220" s="283"/>
      <c r="CB220" s="283"/>
      <c r="CC220" s="283"/>
      <c r="CD220" s="283"/>
      <c r="CE220" s="283"/>
      <c r="CF220" s="283"/>
      <c r="CG220" s="283"/>
      <c r="CH220" s="283"/>
      <c r="CI220" s="283"/>
      <c r="CJ220" s="283"/>
      <c r="CK220" s="283"/>
      <c r="CL220" s="283"/>
      <c r="CM220" s="283"/>
      <c r="CN220" s="283"/>
      <c r="CO220" s="283"/>
      <c r="CP220" s="283"/>
      <c r="CQ220" s="283"/>
    </row>
    <row r="221" spans="39:95" ht="26.25" hidden="1" customHeight="1" x14ac:dyDescent="0.3">
      <c r="AM221" s="283"/>
      <c r="AN221" s="283"/>
      <c r="AO221" s="283"/>
      <c r="AP221" s="283"/>
      <c r="AQ221" s="283"/>
      <c r="AR221" s="283"/>
      <c r="AS221" s="283"/>
      <c r="AT221" s="283"/>
      <c r="AU221" s="283"/>
      <c r="AV221" s="283"/>
      <c r="AW221" s="283"/>
      <c r="AX221" s="283"/>
      <c r="AY221" s="283"/>
      <c r="AZ221" s="283"/>
      <c r="BA221" s="283"/>
      <c r="BB221" s="283"/>
      <c r="BC221" s="283"/>
      <c r="BD221" s="283"/>
      <c r="BE221" s="283"/>
      <c r="BF221" s="283"/>
      <c r="BG221" s="283"/>
      <c r="BH221" s="283"/>
      <c r="BI221" s="283"/>
      <c r="BJ221" s="283"/>
      <c r="BK221" s="283"/>
      <c r="BL221" s="283"/>
      <c r="BM221" s="283"/>
      <c r="BN221" s="283"/>
      <c r="BO221" s="283"/>
      <c r="BP221" s="283"/>
      <c r="BQ221" s="283"/>
      <c r="BR221" s="283"/>
      <c r="BS221" s="283"/>
      <c r="BT221" s="283"/>
      <c r="BU221" s="283"/>
      <c r="BV221" s="283"/>
      <c r="BW221" s="283"/>
      <c r="BX221" s="283"/>
      <c r="BY221" s="283"/>
      <c r="BZ221" s="283"/>
      <c r="CA221" s="283"/>
      <c r="CB221" s="283"/>
      <c r="CC221" s="283"/>
      <c r="CD221" s="283"/>
      <c r="CE221" s="283"/>
      <c r="CF221" s="283"/>
      <c r="CG221" s="283"/>
      <c r="CH221" s="283"/>
      <c r="CI221" s="283"/>
      <c r="CJ221" s="283"/>
      <c r="CK221" s="283"/>
      <c r="CL221" s="283"/>
      <c r="CM221" s="283"/>
      <c r="CN221" s="283"/>
      <c r="CO221" s="283"/>
      <c r="CP221" s="283"/>
      <c r="CQ221" s="283"/>
    </row>
    <row r="222" spans="39:95" ht="26.25" hidden="1" customHeight="1" x14ac:dyDescent="0.3">
      <c r="AM222" s="283"/>
      <c r="AN222" s="283"/>
      <c r="AO222" s="283"/>
      <c r="AP222" s="283"/>
      <c r="AQ222" s="283"/>
      <c r="AR222" s="283"/>
      <c r="AS222" s="283"/>
      <c r="AT222" s="283"/>
      <c r="AU222" s="283"/>
      <c r="AV222" s="283"/>
      <c r="AW222" s="283"/>
      <c r="AX222" s="283"/>
      <c r="AY222" s="283"/>
      <c r="AZ222" s="283"/>
      <c r="BA222" s="283"/>
      <c r="BB222" s="283"/>
      <c r="BC222" s="283"/>
      <c r="BD222" s="283"/>
      <c r="BE222" s="283"/>
      <c r="BF222" s="283"/>
      <c r="BG222" s="283"/>
      <c r="BH222" s="283"/>
      <c r="BI222" s="283"/>
      <c r="BJ222" s="283"/>
      <c r="BK222" s="283"/>
      <c r="BL222" s="283"/>
      <c r="BM222" s="283"/>
      <c r="BN222" s="283"/>
      <c r="BO222" s="283"/>
      <c r="BP222" s="283"/>
      <c r="BQ222" s="283"/>
      <c r="BR222" s="283"/>
      <c r="BS222" s="283"/>
      <c r="BT222" s="283"/>
      <c r="BU222" s="283"/>
      <c r="BV222" s="283"/>
      <c r="BW222" s="283"/>
      <c r="BX222" s="283"/>
      <c r="BY222" s="283"/>
      <c r="BZ222" s="283"/>
      <c r="CA222" s="283"/>
      <c r="CB222" s="283"/>
      <c r="CC222" s="283"/>
      <c r="CD222" s="283"/>
      <c r="CE222" s="283"/>
      <c r="CF222" s="283"/>
      <c r="CG222" s="283"/>
      <c r="CH222" s="283"/>
      <c r="CI222" s="283"/>
      <c r="CJ222" s="283"/>
      <c r="CK222" s="283"/>
      <c r="CL222" s="283"/>
      <c r="CM222" s="283"/>
      <c r="CN222" s="283"/>
      <c r="CO222" s="283"/>
      <c r="CP222" s="283"/>
      <c r="CQ222" s="283"/>
    </row>
    <row r="223" spans="39:95" ht="26.25" hidden="1" customHeight="1" x14ac:dyDescent="0.3">
      <c r="AM223" s="283"/>
      <c r="AN223" s="283"/>
      <c r="AO223" s="283"/>
      <c r="AP223" s="283"/>
      <c r="AQ223" s="283"/>
      <c r="AR223" s="283"/>
      <c r="AS223" s="283"/>
      <c r="AT223" s="283"/>
      <c r="AU223" s="283"/>
      <c r="AV223" s="283"/>
      <c r="AW223" s="283"/>
      <c r="AX223" s="283"/>
      <c r="AY223" s="283"/>
      <c r="AZ223" s="283"/>
      <c r="BA223" s="283"/>
      <c r="BB223" s="283"/>
      <c r="BC223" s="283"/>
      <c r="BD223" s="283"/>
      <c r="BE223" s="283"/>
      <c r="BF223" s="283"/>
      <c r="BG223" s="283"/>
      <c r="BH223" s="283"/>
      <c r="BI223" s="283"/>
      <c r="BJ223" s="283"/>
      <c r="BK223" s="283"/>
      <c r="BL223" s="283"/>
      <c r="BM223" s="283"/>
      <c r="BN223" s="283"/>
      <c r="BO223" s="283"/>
      <c r="BP223" s="283"/>
      <c r="BQ223" s="283"/>
      <c r="BR223" s="283"/>
      <c r="BS223" s="283"/>
      <c r="BT223" s="283"/>
      <c r="BU223" s="283"/>
      <c r="BV223" s="283"/>
      <c r="BW223" s="283"/>
      <c r="BX223" s="283"/>
      <c r="BY223" s="283"/>
      <c r="BZ223" s="283"/>
      <c r="CA223" s="283"/>
      <c r="CB223" s="283"/>
      <c r="CC223" s="283"/>
      <c r="CD223" s="283"/>
      <c r="CE223" s="283"/>
      <c r="CF223" s="283"/>
      <c r="CG223" s="283"/>
      <c r="CH223" s="283"/>
      <c r="CI223" s="283"/>
      <c r="CJ223" s="283"/>
      <c r="CK223" s="283"/>
      <c r="CL223" s="283"/>
      <c r="CM223" s="283"/>
      <c r="CN223" s="283"/>
      <c r="CO223" s="283"/>
      <c r="CP223" s="283"/>
      <c r="CQ223" s="283"/>
    </row>
    <row r="224" spans="39:95" ht="26.25" hidden="1" customHeight="1" x14ac:dyDescent="0.3">
      <c r="AM224" s="283"/>
      <c r="AN224" s="283"/>
      <c r="AO224" s="283"/>
      <c r="AP224" s="283"/>
      <c r="AQ224" s="283"/>
      <c r="AR224" s="283"/>
      <c r="AS224" s="283"/>
      <c r="AT224" s="283"/>
      <c r="AU224" s="283"/>
      <c r="AV224" s="283"/>
      <c r="AW224" s="283"/>
      <c r="AX224" s="283"/>
      <c r="AY224" s="283"/>
      <c r="AZ224" s="283"/>
      <c r="BA224" s="283"/>
      <c r="BB224" s="283"/>
      <c r="BC224" s="283"/>
      <c r="BD224" s="283"/>
      <c r="BE224" s="283"/>
      <c r="BF224" s="283"/>
      <c r="BG224" s="283"/>
      <c r="BH224" s="283"/>
      <c r="BI224" s="283"/>
      <c r="BJ224" s="283"/>
      <c r="BK224" s="283"/>
      <c r="BL224" s="283"/>
      <c r="BM224" s="283"/>
      <c r="BN224" s="283"/>
      <c r="BO224" s="283"/>
      <c r="BP224" s="283"/>
      <c r="BQ224" s="283"/>
      <c r="BR224" s="283"/>
      <c r="BS224" s="283"/>
      <c r="BT224" s="283"/>
      <c r="BU224" s="283"/>
      <c r="BV224" s="283"/>
      <c r="BW224" s="283"/>
      <c r="BX224" s="283"/>
      <c r="BY224" s="283"/>
      <c r="BZ224" s="283"/>
      <c r="CA224" s="283"/>
      <c r="CB224" s="283"/>
      <c r="CC224" s="283"/>
      <c r="CD224" s="283"/>
      <c r="CE224" s="283"/>
      <c r="CF224" s="283"/>
      <c r="CG224" s="283"/>
      <c r="CH224" s="283"/>
      <c r="CI224" s="283"/>
      <c r="CJ224" s="283"/>
      <c r="CK224" s="283"/>
      <c r="CL224" s="283"/>
      <c r="CM224" s="283"/>
      <c r="CN224" s="283"/>
      <c r="CO224" s="283"/>
      <c r="CP224" s="283"/>
      <c r="CQ224" s="283"/>
    </row>
    <row r="225" spans="39:95" ht="26.25" hidden="1" customHeight="1" x14ac:dyDescent="0.3">
      <c r="AM225" s="283"/>
      <c r="AN225" s="283"/>
      <c r="AO225" s="283"/>
      <c r="AP225" s="283"/>
      <c r="AQ225" s="283"/>
      <c r="AR225" s="283"/>
      <c r="AS225" s="283"/>
      <c r="AT225" s="283"/>
      <c r="AU225" s="283"/>
      <c r="AV225" s="283"/>
      <c r="AW225" s="283"/>
      <c r="AX225" s="283"/>
      <c r="AY225" s="283"/>
      <c r="AZ225" s="283"/>
      <c r="BA225" s="283"/>
      <c r="BB225" s="283"/>
      <c r="BC225" s="283"/>
      <c r="BD225" s="283"/>
      <c r="BE225" s="283"/>
      <c r="BF225" s="283"/>
      <c r="BG225" s="283"/>
      <c r="BH225" s="283"/>
      <c r="BI225" s="283"/>
      <c r="BJ225" s="283"/>
      <c r="BK225" s="283"/>
      <c r="BL225" s="283"/>
      <c r="BM225" s="283"/>
      <c r="BN225" s="283"/>
      <c r="BO225" s="283"/>
      <c r="BP225" s="283"/>
      <c r="BQ225" s="283"/>
      <c r="BR225" s="283"/>
      <c r="BS225" s="283"/>
      <c r="BT225" s="283"/>
      <c r="BU225" s="283"/>
      <c r="BV225" s="283"/>
      <c r="BW225" s="283"/>
      <c r="BX225" s="283"/>
      <c r="BY225" s="283"/>
      <c r="BZ225" s="283"/>
      <c r="CA225" s="283"/>
      <c r="CB225" s="283"/>
      <c r="CC225" s="283"/>
      <c r="CD225" s="283"/>
      <c r="CE225" s="283"/>
      <c r="CF225" s="283"/>
      <c r="CG225" s="283"/>
      <c r="CH225" s="283"/>
      <c r="CI225" s="283"/>
      <c r="CJ225" s="283"/>
      <c r="CK225" s="283"/>
      <c r="CL225" s="283"/>
      <c r="CM225" s="283"/>
      <c r="CN225" s="283"/>
      <c r="CO225" s="283"/>
      <c r="CP225" s="283"/>
      <c r="CQ225" s="283"/>
    </row>
    <row r="226" spans="39:95" ht="26.25" hidden="1" customHeight="1" x14ac:dyDescent="0.3">
      <c r="AM226" s="283"/>
      <c r="AN226" s="283"/>
      <c r="AO226" s="283"/>
      <c r="AP226" s="283"/>
      <c r="AQ226" s="283"/>
      <c r="AR226" s="283"/>
      <c r="AS226" s="283"/>
      <c r="AT226" s="283"/>
      <c r="AU226" s="283"/>
      <c r="AV226" s="283"/>
      <c r="AW226" s="283"/>
      <c r="AX226" s="283"/>
      <c r="AY226" s="283"/>
      <c r="AZ226" s="283"/>
      <c r="BA226" s="283"/>
      <c r="BB226" s="283"/>
      <c r="BC226" s="283"/>
      <c r="BD226" s="283"/>
      <c r="BE226" s="283"/>
      <c r="BF226" s="283"/>
      <c r="BG226" s="283"/>
      <c r="BH226" s="283"/>
      <c r="BI226" s="283"/>
      <c r="BJ226" s="283"/>
      <c r="BK226" s="283"/>
      <c r="BL226" s="283"/>
      <c r="BM226" s="283"/>
      <c r="BN226" s="283"/>
      <c r="BO226" s="283"/>
      <c r="BP226" s="283"/>
      <c r="BQ226" s="283"/>
      <c r="BR226" s="283"/>
      <c r="BS226" s="283"/>
      <c r="BT226" s="283"/>
      <c r="BU226" s="283"/>
      <c r="BV226" s="283"/>
      <c r="BW226" s="283"/>
      <c r="BX226" s="283"/>
      <c r="BY226" s="283"/>
      <c r="BZ226" s="283"/>
      <c r="CA226" s="283"/>
      <c r="CB226" s="283"/>
      <c r="CC226" s="283"/>
      <c r="CD226" s="283"/>
      <c r="CE226" s="283"/>
      <c r="CF226" s="283"/>
      <c r="CG226" s="283"/>
      <c r="CH226" s="283"/>
      <c r="CI226" s="283"/>
      <c r="CJ226" s="283"/>
      <c r="CK226" s="283"/>
      <c r="CL226" s="283"/>
      <c r="CM226" s="283"/>
      <c r="CN226" s="283"/>
      <c r="CO226" s="283"/>
      <c r="CP226" s="283"/>
      <c r="CQ226" s="283"/>
    </row>
    <row r="227" spans="39:95" ht="26.25" hidden="1" customHeight="1" x14ac:dyDescent="0.3">
      <c r="AM227" s="283"/>
      <c r="AN227" s="283"/>
      <c r="AO227" s="283"/>
      <c r="AP227" s="283"/>
      <c r="AQ227" s="283"/>
      <c r="AR227" s="283"/>
      <c r="AS227" s="283"/>
      <c r="AT227" s="283"/>
      <c r="AU227" s="283"/>
      <c r="AV227" s="283"/>
      <c r="AW227" s="283"/>
      <c r="AX227" s="283"/>
      <c r="AY227" s="283"/>
      <c r="AZ227" s="283"/>
      <c r="BA227" s="283"/>
      <c r="BB227" s="283"/>
      <c r="BC227" s="283"/>
      <c r="BD227" s="283"/>
      <c r="BE227" s="283"/>
      <c r="BF227" s="283"/>
      <c r="BG227" s="283"/>
      <c r="BH227" s="283"/>
      <c r="BI227" s="283"/>
      <c r="BJ227" s="283"/>
      <c r="BK227" s="283"/>
      <c r="BL227" s="283"/>
      <c r="BM227" s="283"/>
      <c r="BN227" s="283"/>
      <c r="BO227" s="283"/>
      <c r="BP227" s="283"/>
      <c r="BQ227" s="283"/>
      <c r="BR227" s="283"/>
      <c r="BS227" s="283"/>
      <c r="BT227" s="283"/>
      <c r="BU227" s="283"/>
      <c r="BV227" s="283"/>
      <c r="BW227" s="283"/>
      <c r="BX227" s="283"/>
      <c r="BY227" s="283"/>
      <c r="BZ227" s="283"/>
      <c r="CA227" s="283"/>
      <c r="CB227" s="283"/>
      <c r="CC227" s="283"/>
      <c r="CD227" s="283"/>
      <c r="CE227" s="283"/>
      <c r="CF227" s="283"/>
      <c r="CG227" s="283"/>
      <c r="CH227" s="283"/>
      <c r="CI227" s="283"/>
      <c r="CJ227" s="283"/>
      <c r="CK227" s="283"/>
      <c r="CL227" s="283"/>
      <c r="CM227" s="283"/>
      <c r="CN227" s="283"/>
      <c r="CO227" s="283"/>
      <c r="CP227" s="283"/>
      <c r="CQ227" s="283"/>
    </row>
    <row r="228" spans="39:95" ht="26.25" hidden="1" customHeight="1" x14ac:dyDescent="0.3">
      <c r="AM228" s="283"/>
      <c r="AN228" s="283"/>
      <c r="AO228" s="283"/>
      <c r="AP228" s="283"/>
      <c r="AQ228" s="283"/>
      <c r="AR228" s="283"/>
      <c r="AS228" s="283"/>
      <c r="AT228" s="283"/>
      <c r="AU228" s="283"/>
      <c r="AV228" s="283"/>
      <c r="AW228" s="283"/>
      <c r="AX228" s="283"/>
      <c r="AY228" s="283"/>
      <c r="AZ228" s="283"/>
      <c r="BA228" s="283"/>
      <c r="BB228" s="283"/>
      <c r="BC228" s="283"/>
      <c r="BD228" s="283"/>
      <c r="BE228" s="283"/>
      <c r="BF228" s="283"/>
      <c r="BG228" s="283"/>
      <c r="BH228" s="283"/>
      <c r="BI228" s="283"/>
      <c r="BJ228" s="283"/>
      <c r="BK228" s="283"/>
      <c r="BL228" s="283"/>
      <c r="BM228" s="283"/>
      <c r="BN228" s="283"/>
      <c r="BO228" s="283"/>
      <c r="BP228" s="283"/>
      <c r="BQ228" s="283"/>
      <c r="BR228" s="283"/>
      <c r="BS228" s="283"/>
      <c r="BT228" s="283"/>
      <c r="BU228" s="283"/>
      <c r="BV228" s="283"/>
      <c r="BW228" s="283"/>
      <c r="BX228" s="283"/>
      <c r="BY228" s="283"/>
      <c r="BZ228" s="283"/>
      <c r="CA228" s="283"/>
      <c r="CB228" s="283"/>
      <c r="CC228" s="283"/>
      <c r="CD228" s="283"/>
      <c r="CE228" s="283"/>
      <c r="CF228" s="283"/>
      <c r="CG228" s="283"/>
      <c r="CH228" s="283"/>
      <c r="CI228" s="283"/>
      <c r="CJ228" s="283"/>
      <c r="CK228" s="283"/>
      <c r="CL228" s="283"/>
      <c r="CM228" s="283"/>
      <c r="CN228" s="283"/>
      <c r="CO228" s="283"/>
      <c r="CP228" s="283"/>
      <c r="CQ228" s="283"/>
    </row>
    <row r="229" spans="39:95" ht="26.25" hidden="1" customHeight="1" x14ac:dyDescent="0.3">
      <c r="AM229" s="283"/>
      <c r="AN229" s="283"/>
      <c r="AO229" s="283"/>
      <c r="AP229" s="283"/>
      <c r="AQ229" s="283"/>
      <c r="AR229" s="283"/>
      <c r="AS229" s="283"/>
      <c r="AT229" s="283"/>
      <c r="AU229" s="283"/>
      <c r="AV229" s="283"/>
      <c r="AW229" s="283"/>
      <c r="AX229" s="283"/>
      <c r="AY229" s="283"/>
      <c r="AZ229" s="283"/>
      <c r="BA229" s="283"/>
      <c r="BB229" s="283"/>
      <c r="BC229" s="283"/>
      <c r="BD229" s="283"/>
      <c r="BE229" s="283"/>
      <c r="BF229" s="283"/>
      <c r="BG229" s="283"/>
      <c r="BH229" s="283"/>
      <c r="BI229" s="283"/>
      <c r="BJ229" s="283"/>
      <c r="BK229" s="283"/>
      <c r="BL229" s="283"/>
      <c r="BM229" s="283"/>
      <c r="BN229" s="283"/>
      <c r="BO229" s="283"/>
      <c r="BP229" s="283"/>
      <c r="BQ229" s="283"/>
      <c r="BR229" s="283"/>
      <c r="BS229" s="283"/>
      <c r="BT229" s="283"/>
      <c r="BU229" s="283"/>
      <c r="BV229" s="283"/>
      <c r="BW229" s="283"/>
      <c r="BX229" s="283"/>
      <c r="BY229" s="283"/>
      <c r="BZ229" s="283"/>
      <c r="CA229" s="283"/>
      <c r="CB229" s="283"/>
      <c r="CC229" s="283"/>
      <c r="CD229" s="283"/>
      <c r="CE229" s="283"/>
      <c r="CF229" s="283"/>
      <c r="CG229" s="283"/>
      <c r="CH229" s="283"/>
      <c r="CI229" s="283"/>
      <c r="CJ229" s="283"/>
      <c r="CK229" s="283"/>
      <c r="CL229" s="283"/>
      <c r="CM229" s="283"/>
      <c r="CN229" s="283"/>
      <c r="CO229" s="283"/>
      <c r="CP229" s="283"/>
      <c r="CQ229" s="283"/>
    </row>
    <row r="230" spans="39:95" ht="26.25" hidden="1" customHeight="1" x14ac:dyDescent="0.3">
      <c r="AM230" s="283"/>
      <c r="AN230" s="283"/>
      <c r="AO230" s="283"/>
      <c r="AP230" s="283"/>
      <c r="AQ230" s="283"/>
      <c r="AR230" s="283"/>
      <c r="AS230" s="283"/>
      <c r="AT230" s="283"/>
      <c r="AU230" s="283"/>
      <c r="AV230" s="283"/>
      <c r="AW230" s="283"/>
      <c r="AX230" s="283"/>
      <c r="AY230" s="283"/>
      <c r="AZ230" s="283"/>
      <c r="BA230" s="283"/>
      <c r="BB230" s="283"/>
      <c r="BC230" s="283"/>
      <c r="BD230" s="283"/>
      <c r="BE230" s="283"/>
      <c r="BF230" s="283"/>
      <c r="BG230" s="283"/>
      <c r="BH230" s="283"/>
      <c r="BI230" s="283"/>
      <c r="BJ230" s="283"/>
      <c r="BK230" s="283"/>
      <c r="BL230" s="283"/>
      <c r="BM230" s="283"/>
      <c r="BN230" s="283"/>
      <c r="BO230" s="283"/>
      <c r="BP230" s="283"/>
      <c r="BQ230" s="283"/>
      <c r="BR230" s="283"/>
      <c r="BS230" s="283"/>
      <c r="BT230" s="283"/>
      <c r="BU230" s="283"/>
      <c r="BV230" s="283"/>
      <c r="BW230" s="283"/>
      <c r="BX230" s="283"/>
      <c r="BY230" s="283"/>
      <c r="BZ230" s="283"/>
      <c r="CA230" s="283"/>
      <c r="CB230" s="283"/>
      <c r="CC230" s="283"/>
      <c r="CD230" s="283"/>
      <c r="CE230" s="283"/>
      <c r="CF230" s="283"/>
      <c r="CG230" s="283"/>
      <c r="CH230" s="283"/>
      <c r="CI230" s="283"/>
      <c r="CJ230" s="283"/>
      <c r="CK230" s="283"/>
      <c r="CL230" s="283"/>
      <c r="CM230" s="283"/>
      <c r="CN230" s="283"/>
      <c r="CO230" s="283"/>
      <c r="CP230" s="283"/>
      <c r="CQ230" s="283"/>
    </row>
  </sheetData>
  <autoFilter ref="A2:XFD184" xr:uid="{00000000-0009-0000-0000-000000000000}"/>
  <mergeCells count="1">
    <mergeCell ref="A1:AM1"/>
  </mergeCells>
  <phoneticPr fontId="33" type="noConversion"/>
  <conditionalFormatting sqref="D76">
    <cfRule type="duplicateValues" dxfId="86" priority="49"/>
  </conditionalFormatting>
  <conditionalFormatting sqref="D76">
    <cfRule type="duplicateValues" dxfId="85" priority="50"/>
  </conditionalFormatting>
  <conditionalFormatting sqref="G77:G81">
    <cfRule type="duplicateValues" dxfId="84" priority="47"/>
  </conditionalFormatting>
  <conditionalFormatting sqref="G77:G81">
    <cfRule type="duplicateValues" dxfId="83" priority="48"/>
  </conditionalFormatting>
  <conditionalFormatting sqref="D82">
    <cfRule type="duplicateValues" dxfId="82" priority="43"/>
  </conditionalFormatting>
  <conditionalFormatting sqref="D82">
    <cfRule type="duplicateValues" dxfId="81" priority="44"/>
  </conditionalFormatting>
  <conditionalFormatting sqref="G87">
    <cfRule type="duplicateValues" dxfId="80" priority="39"/>
  </conditionalFormatting>
  <conditionalFormatting sqref="G87">
    <cfRule type="duplicateValues" dxfId="79" priority="40"/>
  </conditionalFormatting>
  <conditionalFormatting sqref="G103 G85:G86 G91 G93 G96:G100 G105 G107:G108">
    <cfRule type="duplicateValues" dxfId="78" priority="51"/>
  </conditionalFormatting>
  <conditionalFormatting sqref="G103 G85:G86 G91 G93 G96:G100 G105 G107:G108">
    <cfRule type="duplicateValues" dxfId="77" priority="54"/>
  </conditionalFormatting>
  <conditionalFormatting sqref="A179">
    <cfRule type="duplicateValues" dxfId="76" priority="38"/>
  </conditionalFormatting>
  <conditionalFormatting sqref="C111:C112">
    <cfRule type="duplicateValues" dxfId="75" priority="35"/>
  </conditionalFormatting>
  <conditionalFormatting sqref="G179">
    <cfRule type="duplicateValues" dxfId="74" priority="32"/>
  </conditionalFormatting>
  <conditionalFormatting sqref="C176:C177 C179:C180 C184 C182">
    <cfRule type="duplicateValues" dxfId="73" priority="55"/>
  </conditionalFormatting>
  <conditionalFormatting sqref="G92">
    <cfRule type="duplicateValues" dxfId="72" priority="30"/>
  </conditionalFormatting>
  <conditionalFormatting sqref="G92">
    <cfRule type="duplicateValues" dxfId="71" priority="31"/>
  </conditionalFormatting>
  <conditionalFormatting sqref="G94">
    <cfRule type="duplicateValues" dxfId="70" priority="26"/>
  </conditionalFormatting>
  <conditionalFormatting sqref="G94">
    <cfRule type="duplicateValues" dxfId="69" priority="27"/>
  </conditionalFormatting>
  <conditionalFormatting sqref="C183">
    <cfRule type="duplicateValues" dxfId="68" priority="24"/>
  </conditionalFormatting>
  <conditionalFormatting sqref="D77:D78">
    <cfRule type="duplicateValues" dxfId="67" priority="18"/>
  </conditionalFormatting>
  <conditionalFormatting sqref="D77:D78">
    <cfRule type="duplicateValues" dxfId="66" priority="19"/>
  </conditionalFormatting>
  <conditionalFormatting sqref="G104">
    <cfRule type="duplicateValues" dxfId="65" priority="16"/>
  </conditionalFormatting>
  <conditionalFormatting sqref="G104">
    <cfRule type="duplicateValues" dxfId="64" priority="17"/>
  </conditionalFormatting>
  <conditionalFormatting sqref="D79:D81">
    <cfRule type="duplicateValues" dxfId="63" priority="14"/>
  </conditionalFormatting>
  <conditionalFormatting sqref="D79:D81">
    <cfRule type="duplicateValues" dxfId="62" priority="15"/>
  </conditionalFormatting>
  <conditionalFormatting sqref="G101">
    <cfRule type="duplicateValues" dxfId="61" priority="12"/>
  </conditionalFormatting>
  <conditionalFormatting sqref="G101">
    <cfRule type="duplicateValues" dxfId="60" priority="13"/>
  </conditionalFormatting>
  <conditionalFormatting sqref="G102">
    <cfRule type="duplicateValues" dxfId="59" priority="10"/>
  </conditionalFormatting>
  <conditionalFormatting sqref="G102">
    <cfRule type="duplicateValues" dxfId="58" priority="11"/>
  </conditionalFormatting>
  <conditionalFormatting sqref="G106">
    <cfRule type="duplicateValues" dxfId="57" priority="8"/>
  </conditionalFormatting>
  <conditionalFormatting sqref="G106">
    <cfRule type="duplicateValues" dxfId="56" priority="9"/>
  </conditionalFormatting>
  <conditionalFormatting sqref="G88:G90">
    <cfRule type="duplicateValues" dxfId="55" priority="6"/>
  </conditionalFormatting>
  <conditionalFormatting sqref="G88:G90">
    <cfRule type="duplicateValues" dxfId="54" priority="7"/>
  </conditionalFormatting>
  <conditionalFormatting sqref="C181">
    <cfRule type="duplicateValues" dxfId="53" priority="5"/>
  </conditionalFormatting>
  <conditionalFormatting sqref="G95">
    <cfRule type="duplicateValues" dxfId="52" priority="3"/>
  </conditionalFormatting>
  <conditionalFormatting sqref="G95">
    <cfRule type="duplicateValues" dxfId="51" priority="4"/>
  </conditionalFormatting>
  <conditionalFormatting sqref="D83:D84">
    <cfRule type="duplicateValues" dxfId="50" priority="1"/>
  </conditionalFormatting>
  <conditionalFormatting sqref="D83:D84">
    <cfRule type="duplicateValues" dxfId="49" priority="2"/>
  </conditionalFormatting>
  <dataValidations count="6">
    <dataValidation type="list" allowBlank="1" showInputMessage="1" showErrorMessage="1" sqref="D70:D73" xr:uid="{00000000-0002-0000-0000-000000000000}">
      <formula1>META</formula1>
    </dataValidation>
    <dataValidation type="list" allowBlank="1" showInputMessage="1" showErrorMessage="1" sqref="W72:W90 W174:W177 W70 W103:W110 W179:W184 W95:W99 W129:W172" xr:uid="{00000000-0002-0000-0000-000001000000}">
      <formula1>gasto</formula1>
    </dataValidation>
    <dataValidation type="list" allowBlank="1" showInputMessage="1" showErrorMessage="1" sqref="D76:D84" xr:uid="{00000000-0002-0000-0000-000002000000}">
      <formula1>metas</formula1>
    </dataValidation>
    <dataValidation type="list" allowBlank="1" showInputMessage="1" showErrorMessage="1" sqref="L170 L96:L97 L77:L86 L152:L155 L164 L178:L184 L88:L90 L130:L149" xr:uid="{00000000-0002-0000-0000-000003000000}">
      <formula1>M</formula1>
    </dataValidation>
    <dataValidation type="list" allowBlank="1" showInputMessage="1" showErrorMessage="1" sqref="C85:C110" xr:uid="{00000000-0002-0000-0000-000004000000}">
      <formula1>CPA</formula1>
    </dataValidation>
    <dataValidation type="list" allowBlank="1" showInputMessage="1" showErrorMessage="1" sqref="B70:B184" xr:uid="{00000000-0002-0000-0000-000005000000}">
      <formula1>PROYECTO</formula1>
    </dataValidation>
  </dataValidations>
  <hyperlinks>
    <hyperlink ref="U3" r:id="rId1" xr:uid="{00000000-0004-0000-0000-000000000000}"/>
    <hyperlink ref="U4:U69" r:id="rId2" display="subdireccion@inci.gov.co" xr:uid="{00000000-0004-0000-0000-000001000000}"/>
    <hyperlink ref="U43" r:id="rId3" xr:uid="{00000000-0004-0000-0000-000002000000}"/>
    <hyperlink ref="U67" r:id="rId4" xr:uid="{00000000-0004-0000-0000-000003000000}"/>
    <hyperlink ref="U73" r:id="rId5" xr:uid="{00000000-0004-0000-0000-000004000000}"/>
    <hyperlink ref="U74" r:id="rId6" xr:uid="{00000000-0004-0000-0000-000005000000}"/>
    <hyperlink ref="U75" r:id="rId7" xr:uid="{00000000-0004-0000-0000-000006000000}"/>
    <hyperlink ref="U76" r:id="rId8" xr:uid="{00000000-0004-0000-0000-000007000000}"/>
    <hyperlink ref="U77" r:id="rId9" xr:uid="{00000000-0004-0000-0000-000008000000}"/>
    <hyperlink ref="U82" r:id="rId10" xr:uid="{00000000-0004-0000-0000-000009000000}"/>
    <hyperlink ref="U85" r:id="rId11" xr:uid="{00000000-0004-0000-0000-00000A000000}"/>
    <hyperlink ref="U86" r:id="rId12" xr:uid="{00000000-0004-0000-0000-00000B000000}"/>
    <hyperlink ref="U87" r:id="rId13" xr:uid="{00000000-0004-0000-0000-00000C000000}"/>
    <hyperlink ref="U91" r:id="rId14" xr:uid="{00000000-0004-0000-0000-00000D000000}"/>
    <hyperlink ref="U93" r:id="rId15" xr:uid="{00000000-0004-0000-0000-00000E000000}"/>
    <hyperlink ref="U96" r:id="rId16" xr:uid="{00000000-0004-0000-0000-00000F000000}"/>
    <hyperlink ref="U97" r:id="rId17" xr:uid="{00000000-0004-0000-0000-000010000000}"/>
    <hyperlink ref="U98" r:id="rId18" xr:uid="{00000000-0004-0000-0000-000011000000}"/>
    <hyperlink ref="U99" r:id="rId19" xr:uid="{00000000-0004-0000-0000-000012000000}"/>
    <hyperlink ref="U100" r:id="rId20" xr:uid="{00000000-0004-0000-0000-000013000000}"/>
    <hyperlink ref="U103" r:id="rId21" xr:uid="{00000000-0004-0000-0000-000014000000}"/>
    <hyperlink ref="U105" r:id="rId22" xr:uid="{00000000-0004-0000-0000-000015000000}"/>
    <hyperlink ref="U107" r:id="rId23" xr:uid="{00000000-0004-0000-0000-000016000000}"/>
    <hyperlink ref="U108" r:id="rId24" xr:uid="{00000000-0004-0000-0000-000017000000}"/>
    <hyperlink ref="U109" r:id="rId25" xr:uid="{00000000-0004-0000-0000-000018000000}"/>
    <hyperlink ref="U110" r:id="rId26" xr:uid="{00000000-0004-0000-0000-000019000000}"/>
    <hyperlink ref="U146" r:id="rId27" xr:uid="{00000000-0004-0000-0000-00001A000000}"/>
    <hyperlink ref="U148" r:id="rId28" xr:uid="{00000000-0004-0000-0000-00001B000000}"/>
    <hyperlink ref="U167" r:id="rId29" xr:uid="{00000000-0004-0000-0000-00001C000000}"/>
    <hyperlink ref="U168" r:id="rId30" xr:uid="{00000000-0004-0000-0000-00001D000000}"/>
    <hyperlink ref="U169" r:id="rId31" xr:uid="{00000000-0004-0000-0000-00001E000000}"/>
    <hyperlink ref="U116" r:id="rId32" xr:uid="{00000000-0004-0000-0000-00001F000000}"/>
    <hyperlink ref="U173" r:id="rId33" xr:uid="{00000000-0004-0000-0000-000020000000}"/>
    <hyperlink ref="U150" r:id="rId34" xr:uid="{00000000-0004-0000-0000-000021000000}"/>
    <hyperlink ref="U129" r:id="rId35" xr:uid="{00000000-0004-0000-0000-000022000000}"/>
    <hyperlink ref="U179" r:id="rId36" xr:uid="{00000000-0004-0000-0000-000023000000}"/>
    <hyperlink ref="U53" r:id="rId37" xr:uid="{00000000-0004-0000-0000-000024000000}"/>
    <hyperlink ref="U92" r:id="rId38" xr:uid="{00000000-0004-0000-0000-000025000000}"/>
    <hyperlink ref="U94" r:id="rId39" xr:uid="{00000000-0004-0000-0000-000026000000}"/>
    <hyperlink ref="U117" r:id="rId40" xr:uid="{00000000-0004-0000-0000-000027000000}"/>
    <hyperlink ref="U151" r:id="rId41" xr:uid="{00000000-0004-0000-0000-000028000000}"/>
    <hyperlink ref="U58" r:id="rId42" xr:uid="{00000000-0004-0000-0000-000029000000}"/>
    <hyperlink ref="U59" r:id="rId43" xr:uid="{00000000-0004-0000-0000-00002A000000}"/>
    <hyperlink ref="U18" r:id="rId44" xr:uid="{00000000-0004-0000-0000-00002B000000}"/>
    <hyperlink ref="U24" r:id="rId45" xr:uid="{00000000-0004-0000-0000-00002C000000}"/>
    <hyperlink ref="U25" r:id="rId46" xr:uid="{00000000-0004-0000-0000-00002D000000}"/>
    <hyperlink ref="U26" r:id="rId47" xr:uid="{00000000-0004-0000-0000-00002E000000}"/>
    <hyperlink ref="U32" r:id="rId48" xr:uid="{00000000-0004-0000-0000-00002F000000}"/>
    <hyperlink ref="U34" r:id="rId49" xr:uid="{00000000-0004-0000-0000-000030000000}"/>
    <hyperlink ref="U78" r:id="rId50" xr:uid="{00000000-0004-0000-0000-000031000000}"/>
    <hyperlink ref="U6" r:id="rId51" xr:uid="{00000000-0004-0000-0000-000032000000}"/>
    <hyperlink ref="U46" r:id="rId52" xr:uid="{00000000-0004-0000-0000-000033000000}"/>
    <hyperlink ref="U47" r:id="rId53" xr:uid="{00000000-0004-0000-0000-000034000000}"/>
    <hyperlink ref="U49" r:id="rId54" xr:uid="{00000000-0004-0000-0000-000035000000}"/>
    <hyperlink ref="U50" r:id="rId55" xr:uid="{00000000-0004-0000-0000-000036000000}"/>
    <hyperlink ref="U104" r:id="rId56" xr:uid="{00000000-0004-0000-0000-000037000000}"/>
    <hyperlink ref="U79" r:id="rId57" xr:uid="{00000000-0004-0000-0000-000038000000}"/>
    <hyperlink ref="U80:U81" r:id="rId58" display="secretariageneral@inci.gov.co" xr:uid="{00000000-0004-0000-0000-000039000000}"/>
    <hyperlink ref="U48" r:id="rId59" xr:uid="{00000000-0004-0000-0000-00003A000000}"/>
    <hyperlink ref="U33" r:id="rId60" xr:uid="{00000000-0004-0000-0000-00003B000000}"/>
    <hyperlink ref="U36" r:id="rId61" xr:uid="{00000000-0004-0000-0000-00003C000000}"/>
    <hyperlink ref="U35" r:id="rId62" xr:uid="{00000000-0004-0000-0000-00003D000000}"/>
    <hyperlink ref="U60:U61" r:id="rId63" display="subdireccion@inci.gov.co" xr:uid="{00000000-0004-0000-0000-00003E000000}"/>
    <hyperlink ref="U61" r:id="rId64" xr:uid="{00000000-0004-0000-0000-00003F000000}"/>
    <hyperlink ref="U101" r:id="rId65" xr:uid="{00000000-0004-0000-0000-000040000000}"/>
    <hyperlink ref="U102" r:id="rId66" xr:uid="{00000000-0004-0000-0000-000041000000}"/>
    <hyperlink ref="U106" r:id="rId67" xr:uid="{00000000-0004-0000-0000-000042000000}"/>
    <hyperlink ref="U70" r:id="rId68" xr:uid="{00000000-0004-0000-0000-000043000000}"/>
    <hyperlink ref="U71" r:id="rId69" xr:uid="{00000000-0004-0000-0000-000044000000}"/>
    <hyperlink ref="U72" r:id="rId70" xr:uid="{00000000-0004-0000-0000-000045000000}"/>
    <hyperlink ref="U83" r:id="rId71" xr:uid="{00000000-0004-0000-0000-000046000000}"/>
    <hyperlink ref="U84" r:id="rId72" xr:uid="{00000000-0004-0000-0000-000047000000}"/>
    <hyperlink ref="U147" r:id="rId73" xr:uid="{00000000-0004-0000-0000-000048000000}"/>
  </hyperlinks>
  <pageMargins left="0.7" right="0.7" top="0.75" bottom="0.75" header="0.3" footer="0.3"/>
  <pageSetup orientation="portrait" r:id="rId74"/>
  <legacyDrawing r:id="rId7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4"/>
  <sheetViews>
    <sheetView zoomScale="70" zoomScaleNormal="70" workbookViewId="0"/>
  </sheetViews>
  <sheetFormatPr baseColWidth="10" defaultColWidth="0" defaultRowHeight="73.5" customHeight="1" x14ac:dyDescent="0.3"/>
  <cols>
    <col min="1" max="1" width="37.6640625" style="3" customWidth="1"/>
    <col min="2" max="2" width="32.88671875" style="3" customWidth="1"/>
    <col min="3" max="3" width="45.44140625" customWidth="1"/>
    <col min="4" max="4" width="16" customWidth="1"/>
    <col min="5" max="5" width="32.6640625" customWidth="1"/>
    <col min="6" max="6" width="24.44140625" customWidth="1"/>
    <col min="7" max="7" width="24.6640625" customWidth="1"/>
    <col min="8" max="8" width="44.6640625" customWidth="1"/>
    <col min="9" max="9" width="10.5546875" customWidth="1"/>
    <col min="10" max="10" width="15.6640625" customWidth="1"/>
    <col min="11" max="11" width="14.44140625" customWidth="1"/>
    <col min="12" max="12" width="15.109375" customWidth="1"/>
    <col min="13" max="13" width="18.88671875" customWidth="1"/>
    <col min="14" max="14" width="18.6640625" customWidth="1"/>
    <col min="15" max="15" width="16.6640625" customWidth="1"/>
    <col min="16" max="16" width="18.5546875" customWidth="1"/>
    <col min="17" max="17" width="18.44140625" customWidth="1"/>
    <col min="18" max="18" width="16.109375" customWidth="1"/>
    <col min="19" max="19" width="22.88671875" customWidth="1"/>
    <col min="20" max="21" width="21.88671875" customWidth="1"/>
    <col min="22" max="22" width="59.109375" customWidth="1"/>
    <col min="23" max="16384" width="11.44140625" hidden="1"/>
  </cols>
  <sheetData>
    <row r="1" spans="1:22" ht="19.5" customHeight="1" x14ac:dyDescent="0.3"/>
    <row r="2" spans="1:22" ht="30" customHeight="1" x14ac:dyDescent="0.3"/>
    <row r="3" spans="1:22" s="52" customFormat="1" ht="73.5" customHeight="1" x14ac:dyDescent="0.3">
      <c r="A3" s="219" t="s">
        <v>0</v>
      </c>
      <c r="B3" s="219" t="s">
        <v>495</v>
      </c>
      <c r="C3" s="220" t="s">
        <v>1</v>
      </c>
      <c r="D3" s="220" t="s">
        <v>2</v>
      </c>
      <c r="E3" s="221" t="s">
        <v>3</v>
      </c>
      <c r="F3" s="220" t="s">
        <v>4</v>
      </c>
      <c r="G3" s="222" t="s">
        <v>5</v>
      </c>
      <c r="H3" s="222" t="s">
        <v>6</v>
      </c>
      <c r="I3" s="222" t="s">
        <v>12</v>
      </c>
      <c r="J3" s="222" t="s">
        <v>18</v>
      </c>
      <c r="K3" s="223" t="s">
        <v>22</v>
      </c>
      <c r="L3" s="223" t="s">
        <v>23</v>
      </c>
      <c r="M3" s="224" t="s">
        <v>496</v>
      </c>
      <c r="N3" s="225" t="s">
        <v>31</v>
      </c>
      <c r="O3" s="226" t="s">
        <v>32</v>
      </c>
      <c r="P3" s="227" t="s">
        <v>33</v>
      </c>
      <c r="Q3" s="227" t="s">
        <v>34</v>
      </c>
      <c r="R3" s="225" t="s">
        <v>35</v>
      </c>
      <c r="S3" s="225" t="s">
        <v>36</v>
      </c>
      <c r="T3" s="227" t="s">
        <v>497</v>
      </c>
      <c r="U3" s="227" t="s">
        <v>498</v>
      </c>
      <c r="V3" s="228" t="s">
        <v>38</v>
      </c>
    </row>
    <row r="4" spans="1:22" s="189" customFormat="1" ht="81" customHeight="1" x14ac:dyDescent="0.3">
      <c r="A4" s="179" t="s">
        <v>97</v>
      </c>
      <c r="B4" s="179" t="s">
        <v>499</v>
      </c>
      <c r="C4" s="62" t="s">
        <v>40</v>
      </c>
      <c r="D4" s="179" t="s">
        <v>98</v>
      </c>
      <c r="E4" s="187" t="s">
        <v>157</v>
      </c>
      <c r="F4" s="187" t="s">
        <v>500</v>
      </c>
      <c r="G4" s="193" t="s">
        <v>501</v>
      </c>
      <c r="H4" s="211" t="s">
        <v>502</v>
      </c>
      <c r="I4" s="184" t="s">
        <v>503</v>
      </c>
      <c r="J4" s="184" t="s">
        <v>504</v>
      </c>
      <c r="K4" s="179" t="s">
        <v>191</v>
      </c>
      <c r="L4" s="187" t="s">
        <v>160</v>
      </c>
      <c r="M4" s="190">
        <v>16065000</v>
      </c>
      <c r="N4" s="179">
        <v>22120</v>
      </c>
      <c r="O4" s="192">
        <v>44123</v>
      </c>
      <c r="P4" s="190">
        <v>16065000</v>
      </c>
      <c r="Q4" s="190">
        <f t="shared" ref="Q4:Q42" si="0">+M4-P4</f>
        <v>0</v>
      </c>
      <c r="R4" s="187" t="s">
        <v>505</v>
      </c>
      <c r="S4" s="187" t="s">
        <v>506</v>
      </c>
      <c r="T4" s="190">
        <v>16065000</v>
      </c>
      <c r="U4" s="190">
        <f t="shared" ref="U4:U41" si="1">+P4-T4</f>
        <v>0</v>
      </c>
      <c r="V4" s="212"/>
    </row>
    <row r="5" spans="1:22" s="189" customFormat="1" ht="75" x14ac:dyDescent="0.3">
      <c r="A5" s="179" t="s">
        <v>97</v>
      </c>
      <c r="B5" s="179" t="s">
        <v>499</v>
      </c>
      <c r="C5" s="62" t="s">
        <v>40</v>
      </c>
      <c r="D5" s="179" t="s">
        <v>98</v>
      </c>
      <c r="E5" s="187" t="s">
        <v>157</v>
      </c>
      <c r="F5" s="187" t="s">
        <v>500</v>
      </c>
      <c r="G5" s="193" t="s">
        <v>507</v>
      </c>
      <c r="H5" s="184" t="s">
        <v>186</v>
      </c>
      <c r="I5" s="184" t="s">
        <v>503</v>
      </c>
      <c r="J5" s="184" t="s">
        <v>504</v>
      </c>
      <c r="K5" s="179" t="s">
        <v>85</v>
      </c>
      <c r="L5" s="187" t="s">
        <v>160</v>
      </c>
      <c r="M5" s="190">
        <v>4360109</v>
      </c>
      <c r="N5" s="179">
        <v>25120</v>
      </c>
      <c r="O5" s="192">
        <v>44147</v>
      </c>
      <c r="P5" s="190">
        <v>4360109</v>
      </c>
      <c r="Q5" s="190">
        <f t="shared" si="0"/>
        <v>0</v>
      </c>
      <c r="R5" s="187" t="s">
        <v>508</v>
      </c>
      <c r="S5" s="187" t="s">
        <v>509</v>
      </c>
      <c r="T5" s="190">
        <v>4360109</v>
      </c>
      <c r="U5" s="190">
        <f t="shared" si="1"/>
        <v>0</v>
      </c>
      <c r="V5" s="212"/>
    </row>
    <row r="6" spans="1:22" s="189" customFormat="1" ht="90" x14ac:dyDescent="0.3">
      <c r="A6" s="179" t="s">
        <v>97</v>
      </c>
      <c r="B6" s="179" t="s">
        <v>499</v>
      </c>
      <c r="C6" s="62" t="s">
        <v>40</v>
      </c>
      <c r="D6" s="179" t="s">
        <v>98</v>
      </c>
      <c r="E6" s="187" t="s">
        <v>157</v>
      </c>
      <c r="F6" s="187" t="s">
        <v>500</v>
      </c>
      <c r="G6" s="193" t="s">
        <v>510</v>
      </c>
      <c r="H6" s="184" t="s">
        <v>511</v>
      </c>
      <c r="I6" s="184" t="s">
        <v>503</v>
      </c>
      <c r="J6" s="184" t="s">
        <v>504</v>
      </c>
      <c r="K6" s="187" t="s">
        <v>333</v>
      </c>
      <c r="L6" s="187" t="s">
        <v>160</v>
      </c>
      <c r="M6" s="190">
        <v>21190841</v>
      </c>
      <c r="N6" s="179">
        <v>26720</v>
      </c>
      <c r="O6" s="198">
        <v>44166</v>
      </c>
      <c r="P6" s="190">
        <v>21190841</v>
      </c>
      <c r="Q6" s="190">
        <f t="shared" si="0"/>
        <v>0</v>
      </c>
      <c r="R6" s="187" t="s">
        <v>512</v>
      </c>
      <c r="S6" s="187" t="s">
        <v>513</v>
      </c>
      <c r="T6" s="190">
        <v>21190841</v>
      </c>
      <c r="U6" s="190">
        <f t="shared" si="1"/>
        <v>0</v>
      </c>
      <c r="V6" s="212"/>
    </row>
    <row r="7" spans="1:22" s="189" customFormat="1" ht="105" x14ac:dyDescent="0.3">
      <c r="A7" s="179" t="s">
        <v>97</v>
      </c>
      <c r="B7" s="187" t="s">
        <v>514</v>
      </c>
      <c r="C7" s="62" t="s">
        <v>40</v>
      </c>
      <c r="D7" s="179" t="s">
        <v>98</v>
      </c>
      <c r="E7" s="187" t="s">
        <v>157</v>
      </c>
      <c r="F7" s="187" t="s">
        <v>500</v>
      </c>
      <c r="G7" s="193" t="s">
        <v>515</v>
      </c>
      <c r="H7" s="184" t="s">
        <v>516</v>
      </c>
      <c r="I7" s="184" t="s">
        <v>503</v>
      </c>
      <c r="J7" s="184" t="s">
        <v>504</v>
      </c>
      <c r="K7" s="179" t="s">
        <v>85</v>
      </c>
      <c r="L7" s="187" t="s">
        <v>160</v>
      </c>
      <c r="M7" s="190">
        <f>6694467-25517.64</f>
        <v>6668949.3600000003</v>
      </c>
      <c r="N7" s="179">
        <v>23620</v>
      </c>
      <c r="O7" s="192">
        <v>44138</v>
      </c>
      <c r="P7" s="190">
        <f>6694467-25517.64</f>
        <v>6668949.3600000003</v>
      </c>
      <c r="Q7" s="190">
        <f t="shared" si="0"/>
        <v>0</v>
      </c>
      <c r="R7" s="187" t="s">
        <v>517</v>
      </c>
      <c r="S7" s="187" t="s">
        <v>518</v>
      </c>
      <c r="T7" s="190">
        <f>3507345+2499654.36+661950</f>
        <v>6668949.3599999994</v>
      </c>
      <c r="U7" s="190">
        <f t="shared" si="1"/>
        <v>0</v>
      </c>
      <c r="V7" s="214" t="s">
        <v>519</v>
      </c>
    </row>
    <row r="8" spans="1:22" s="189" customFormat="1" ht="90" x14ac:dyDescent="0.3">
      <c r="A8" s="179" t="s">
        <v>39</v>
      </c>
      <c r="B8" s="185" t="s">
        <v>520</v>
      </c>
      <c r="C8" s="62" t="s">
        <v>40</v>
      </c>
      <c r="D8" s="179" t="s">
        <v>41</v>
      </c>
      <c r="E8" s="187" t="s">
        <v>42</v>
      </c>
      <c r="F8" s="187" t="s">
        <v>521</v>
      </c>
      <c r="G8" s="202" t="s">
        <v>522</v>
      </c>
      <c r="H8" s="188" t="s">
        <v>523</v>
      </c>
      <c r="I8" s="188" t="s">
        <v>503</v>
      </c>
      <c r="J8" s="188" t="s">
        <v>504</v>
      </c>
      <c r="K8" s="196" t="s">
        <v>85</v>
      </c>
      <c r="L8" s="187" t="s">
        <v>49</v>
      </c>
      <c r="M8" s="190">
        <v>14800000</v>
      </c>
      <c r="N8" s="179">
        <v>18220</v>
      </c>
      <c r="O8" s="192">
        <v>44061</v>
      </c>
      <c r="P8" s="190">
        <v>14800000</v>
      </c>
      <c r="Q8" s="190">
        <f t="shared" si="0"/>
        <v>0</v>
      </c>
      <c r="R8" s="187" t="s">
        <v>524</v>
      </c>
      <c r="S8" s="187" t="s">
        <v>525</v>
      </c>
      <c r="T8" s="190">
        <v>14800000</v>
      </c>
      <c r="U8" s="190">
        <f t="shared" si="1"/>
        <v>0</v>
      </c>
      <c r="V8" s="212"/>
    </row>
    <row r="9" spans="1:22" s="189" customFormat="1" ht="60" x14ac:dyDescent="0.3">
      <c r="A9" s="179" t="s">
        <v>97</v>
      </c>
      <c r="B9" s="185" t="s">
        <v>520</v>
      </c>
      <c r="C9" s="62" t="s">
        <v>40</v>
      </c>
      <c r="D9" s="179" t="s">
        <v>98</v>
      </c>
      <c r="E9" s="187" t="s">
        <v>157</v>
      </c>
      <c r="F9" s="187" t="s">
        <v>500</v>
      </c>
      <c r="G9" s="193">
        <v>44121600</v>
      </c>
      <c r="H9" s="211" t="s">
        <v>526</v>
      </c>
      <c r="I9" s="184" t="s">
        <v>503</v>
      </c>
      <c r="J9" s="184" t="s">
        <v>504</v>
      </c>
      <c r="K9" s="187" t="s">
        <v>333</v>
      </c>
      <c r="L9" s="187" t="s">
        <v>160</v>
      </c>
      <c r="M9" s="190">
        <v>3647031</v>
      </c>
      <c r="N9" s="179">
        <v>24120</v>
      </c>
      <c r="O9" s="203">
        <v>44141</v>
      </c>
      <c r="P9" s="190">
        <v>3647031</v>
      </c>
      <c r="Q9" s="190">
        <f t="shared" si="0"/>
        <v>0</v>
      </c>
      <c r="R9" s="187" t="s">
        <v>527</v>
      </c>
      <c r="S9" s="187" t="s">
        <v>528</v>
      </c>
      <c r="T9" s="190">
        <v>3647031</v>
      </c>
      <c r="U9" s="190">
        <f t="shared" si="1"/>
        <v>0</v>
      </c>
      <c r="V9" s="212"/>
    </row>
    <row r="10" spans="1:22" s="189" customFormat="1" ht="79.5" customHeight="1" x14ac:dyDescent="0.3">
      <c r="A10" s="179" t="s">
        <v>97</v>
      </c>
      <c r="B10" s="178" t="s">
        <v>529</v>
      </c>
      <c r="C10" s="62" t="s">
        <v>40</v>
      </c>
      <c r="D10" s="179" t="s">
        <v>98</v>
      </c>
      <c r="E10" s="187" t="s">
        <v>157</v>
      </c>
      <c r="F10" s="187" t="s">
        <v>500</v>
      </c>
      <c r="G10" s="193">
        <v>81101707</v>
      </c>
      <c r="H10" s="184" t="s">
        <v>530</v>
      </c>
      <c r="I10" s="184" t="s">
        <v>531</v>
      </c>
      <c r="J10" s="184" t="s">
        <v>504</v>
      </c>
      <c r="K10" s="179" t="s">
        <v>85</v>
      </c>
      <c r="L10" s="187" t="s">
        <v>160</v>
      </c>
      <c r="M10" s="190">
        <v>4000000</v>
      </c>
      <c r="N10" s="179">
        <v>13920</v>
      </c>
      <c r="O10" s="192">
        <v>43993</v>
      </c>
      <c r="P10" s="190">
        <v>4000000</v>
      </c>
      <c r="Q10" s="190">
        <f t="shared" si="0"/>
        <v>0</v>
      </c>
      <c r="R10" s="187" t="s">
        <v>532</v>
      </c>
      <c r="S10" s="187" t="s">
        <v>533</v>
      </c>
      <c r="T10" s="190">
        <f>2000000+2000000</f>
        <v>4000000</v>
      </c>
      <c r="U10" s="190">
        <f t="shared" si="1"/>
        <v>0</v>
      </c>
      <c r="V10" s="212"/>
    </row>
    <row r="11" spans="1:22" s="189" customFormat="1" ht="79.5" customHeight="1" x14ac:dyDescent="0.3">
      <c r="A11" s="179" t="s">
        <v>39</v>
      </c>
      <c r="B11" s="178" t="s">
        <v>529</v>
      </c>
      <c r="C11" s="62" t="s">
        <v>40</v>
      </c>
      <c r="D11" s="179" t="s">
        <v>41</v>
      </c>
      <c r="E11" s="187" t="s">
        <v>42</v>
      </c>
      <c r="F11" s="187" t="s">
        <v>521</v>
      </c>
      <c r="G11" s="204">
        <v>80141607</v>
      </c>
      <c r="H11" s="188" t="s">
        <v>534</v>
      </c>
      <c r="I11" s="188" t="s">
        <v>531</v>
      </c>
      <c r="J11" s="188" t="s">
        <v>535</v>
      </c>
      <c r="K11" s="179" t="s">
        <v>155</v>
      </c>
      <c r="L11" s="187" t="s">
        <v>536</v>
      </c>
      <c r="M11" s="190">
        <f>1392500-1392500</f>
        <v>0</v>
      </c>
      <c r="N11" s="179">
        <v>8320</v>
      </c>
      <c r="O11" s="192">
        <v>43903</v>
      </c>
      <c r="P11" s="190">
        <f>1392500-1392500</f>
        <v>0</v>
      </c>
      <c r="Q11" s="190">
        <f t="shared" si="0"/>
        <v>0</v>
      </c>
      <c r="R11" s="187" t="s">
        <v>537</v>
      </c>
      <c r="S11" s="187" t="s">
        <v>538</v>
      </c>
      <c r="T11" s="190"/>
      <c r="U11" s="190">
        <f t="shared" si="1"/>
        <v>0</v>
      </c>
      <c r="V11" s="212"/>
    </row>
    <row r="12" spans="1:22" s="189" customFormat="1" ht="79.5" customHeight="1" x14ac:dyDescent="0.3">
      <c r="A12" s="179" t="s">
        <v>39</v>
      </c>
      <c r="B12" s="178" t="s">
        <v>529</v>
      </c>
      <c r="C12" s="62" t="s">
        <v>40</v>
      </c>
      <c r="D12" s="179" t="s">
        <v>41</v>
      </c>
      <c r="E12" s="187" t="s">
        <v>80</v>
      </c>
      <c r="F12" s="187" t="s">
        <v>521</v>
      </c>
      <c r="G12" s="204">
        <v>80141607</v>
      </c>
      <c r="H12" s="188" t="s">
        <v>534</v>
      </c>
      <c r="I12" s="184" t="s">
        <v>531</v>
      </c>
      <c r="J12" s="188" t="s">
        <v>535</v>
      </c>
      <c r="K12" s="179" t="s">
        <v>155</v>
      </c>
      <c r="L12" s="187" t="s">
        <v>536</v>
      </c>
      <c r="M12" s="190">
        <f>2500000-2500000</f>
        <v>0</v>
      </c>
      <c r="N12" s="179">
        <v>8320</v>
      </c>
      <c r="O12" s="192">
        <v>43903</v>
      </c>
      <c r="P12" s="190">
        <f>2500000-2500000</f>
        <v>0</v>
      </c>
      <c r="Q12" s="190">
        <f t="shared" si="0"/>
        <v>0</v>
      </c>
      <c r="R12" s="187" t="s">
        <v>537</v>
      </c>
      <c r="S12" s="187" t="s">
        <v>538</v>
      </c>
      <c r="T12" s="190"/>
      <c r="U12" s="190">
        <f t="shared" si="1"/>
        <v>0</v>
      </c>
      <c r="V12" s="212"/>
    </row>
    <row r="13" spans="1:22" s="189" customFormat="1" ht="79.5" customHeight="1" x14ac:dyDescent="0.3">
      <c r="A13" s="179" t="s">
        <v>97</v>
      </c>
      <c r="B13" s="178" t="s">
        <v>529</v>
      </c>
      <c r="C13" s="62" t="s">
        <v>40</v>
      </c>
      <c r="D13" s="179" t="s">
        <v>98</v>
      </c>
      <c r="E13" s="187" t="s">
        <v>116</v>
      </c>
      <c r="F13" s="187" t="s">
        <v>539</v>
      </c>
      <c r="G13" s="204">
        <v>80141607</v>
      </c>
      <c r="H13" s="188" t="s">
        <v>534</v>
      </c>
      <c r="I13" s="184" t="s">
        <v>531</v>
      </c>
      <c r="J13" s="188" t="s">
        <v>535</v>
      </c>
      <c r="K13" s="179" t="s">
        <v>155</v>
      </c>
      <c r="L13" s="184" t="s">
        <v>130</v>
      </c>
      <c r="M13" s="190">
        <f>15000000-15000000</f>
        <v>0</v>
      </c>
      <c r="N13" s="179">
        <v>9220</v>
      </c>
      <c r="O13" s="192">
        <v>43909</v>
      </c>
      <c r="P13" s="190">
        <f>15000000-15000000</f>
        <v>0</v>
      </c>
      <c r="Q13" s="190">
        <f t="shared" si="0"/>
        <v>0</v>
      </c>
      <c r="R13" s="187" t="s">
        <v>540</v>
      </c>
      <c r="S13" s="187" t="s">
        <v>538</v>
      </c>
      <c r="T13" s="190"/>
      <c r="U13" s="190">
        <f t="shared" si="1"/>
        <v>0</v>
      </c>
      <c r="V13" s="212"/>
    </row>
    <row r="14" spans="1:22" s="189" customFormat="1" ht="79.5" customHeight="1" x14ac:dyDescent="0.3">
      <c r="A14" s="179" t="s">
        <v>194</v>
      </c>
      <c r="B14" s="178" t="s">
        <v>529</v>
      </c>
      <c r="C14" s="62" t="s">
        <v>40</v>
      </c>
      <c r="D14" s="179" t="s">
        <v>195</v>
      </c>
      <c r="E14" s="187" t="s">
        <v>196</v>
      </c>
      <c r="F14" s="187" t="s">
        <v>521</v>
      </c>
      <c r="G14" s="202" t="s">
        <v>541</v>
      </c>
      <c r="H14" s="188" t="s">
        <v>534</v>
      </c>
      <c r="I14" s="184" t="s">
        <v>531</v>
      </c>
      <c r="J14" s="188" t="s">
        <v>535</v>
      </c>
      <c r="K14" s="179" t="s">
        <v>155</v>
      </c>
      <c r="L14" s="187" t="s">
        <v>536</v>
      </c>
      <c r="M14" s="190">
        <f>600000-600000</f>
        <v>0</v>
      </c>
      <c r="N14" s="179">
        <v>9220</v>
      </c>
      <c r="O14" s="192">
        <v>43909</v>
      </c>
      <c r="P14" s="190">
        <f>600000-600000</f>
        <v>0</v>
      </c>
      <c r="Q14" s="190">
        <f t="shared" si="0"/>
        <v>0</v>
      </c>
      <c r="R14" s="187" t="s">
        <v>537</v>
      </c>
      <c r="S14" s="187" t="s">
        <v>538</v>
      </c>
      <c r="T14" s="190"/>
      <c r="U14" s="190">
        <f t="shared" si="1"/>
        <v>0</v>
      </c>
      <c r="V14" s="212"/>
    </row>
    <row r="15" spans="1:22" s="189" customFormat="1" ht="60" x14ac:dyDescent="0.3">
      <c r="A15" s="179" t="s">
        <v>97</v>
      </c>
      <c r="B15" s="178" t="s">
        <v>529</v>
      </c>
      <c r="C15" s="62" t="s">
        <v>40</v>
      </c>
      <c r="D15" s="179" t="s">
        <v>98</v>
      </c>
      <c r="E15" s="187" t="s">
        <v>542</v>
      </c>
      <c r="F15" s="187" t="s">
        <v>539</v>
      </c>
      <c r="G15" s="193">
        <v>43231513</v>
      </c>
      <c r="H15" s="184" t="s">
        <v>543</v>
      </c>
      <c r="I15" s="184" t="s">
        <v>531</v>
      </c>
      <c r="J15" s="184" t="s">
        <v>535</v>
      </c>
      <c r="K15" s="179" t="s">
        <v>85</v>
      </c>
      <c r="L15" s="187" t="s">
        <v>120</v>
      </c>
      <c r="M15" s="190">
        <v>14499999</v>
      </c>
      <c r="N15" s="179">
        <v>25220</v>
      </c>
      <c r="O15" s="192">
        <v>44154</v>
      </c>
      <c r="P15" s="205">
        <v>14499999</v>
      </c>
      <c r="Q15" s="190">
        <f t="shared" si="0"/>
        <v>0</v>
      </c>
      <c r="R15" s="187" t="s">
        <v>544</v>
      </c>
      <c r="S15" s="187" t="s">
        <v>545</v>
      </c>
      <c r="T15" s="190">
        <f>7250000+7249999</f>
        <v>14499999</v>
      </c>
      <c r="U15" s="190">
        <f t="shared" si="1"/>
        <v>0</v>
      </c>
      <c r="V15" s="212"/>
    </row>
    <row r="16" spans="1:22" s="189" customFormat="1" ht="90" x14ac:dyDescent="0.3">
      <c r="A16" s="179" t="s">
        <v>97</v>
      </c>
      <c r="B16" s="178" t="s">
        <v>529</v>
      </c>
      <c r="C16" s="62" t="s">
        <v>40</v>
      </c>
      <c r="D16" s="179" t="s">
        <v>98</v>
      </c>
      <c r="E16" s="187" t="s">
        <v>150</v>
      </c>
      <c r="F16" s="187" t="s">
        <v>500</v>
      </c>
      <c r="G16" s="193" t="s">
        <v>546</v>
      </c>
      <c r="H16" s="184" t="s">
        <v>153</v>
      </c>
      <c r="I16" s="184" t="s">
        <v>531</v>
      </c>
      <c r="J16" s="184" t="s">
        <v>504</v>
      </c>
      <c r="K16" s="187" t="s">
        <v>333</v>
      </c>
      <c r="L16" s="187" t="s">
        <v>156</v>
      </c>
      <c r="M16" s="190">
        <v>47845432</v>
      </c>
      <c r="N16" s="179" t="s">
        <v>547</v>
      </c>
      <c r="O16" s="192" t="s">
        <v>548</v>
      </c>
      <c r="P16" s="205">
        <v>47845432</v>
      </c>
      <c r="Q16" s="190">
        <f t="shared" si="0"/>
        <v>0</v>
      </c>
      <c r="R16" s="187" t="s">
        <v>549</v>
      </c>
      <c r="S16" s="187" t="s">
        <v>550</v>
      </c>
      <c r="T16" s="190">
        <f>47823432+22000</f>
        <v>47845432</v>
      </c>
      <c r="U16" s="190">
        <f t="shared" si="1"/>
        <v>0</v>
      </c>
      <c r="V16" s="212"/>
    </row>
    <row r="17" spans="1:22" s="189" customFormat="1" ht="90" x14ac:dyDescent="0.3">
      <c r="A17" s="179" t="s">
        <v>97</v>
      </c>
      <c r="B17" s="178" t="s">
        <v>529</v>
      </c>
      <c r="C17" s="62" t="s">
        <v>40</v>
      </c>
      <c r="D17" s="179" t="s">
        <v>98</v>
      </c>
      <c r="E17" s="187" t="s">
        <v>150</v>
      </c>
      <c r="F17" s="187" t="s">
        <v>500</v>
      </c>
      <c r="G17" s="193" t="s">
        <v>546</v>
      </c>
      <c r="H17" s="184" t="s">
        <v>153</v>
      </c>
      <c r="I17" s="184" t="s">
        <v>503</v>
      </c>
      <c r="J17" s="184" t="s">
        <v>504</v>
      </c>
      <c r="K17" s="187" t="s">
        <v>333</v>
      </c>
      <c r="L17" s="187" t="s">
        <v>156</v>
      </c>
      <c r="M17" s="190">
        <v>3164493</v>
      </c>
      <c r="N17" s="179">
        <v>28820</v>
      </c>
      <c r="O17" s="192">
        <v>44181</v>
      </c>
      <c r="P17" s="205">
        <v>3164493</v>
      </c>
      <c r="Q17" s="190">
        <f t="shared" si="0"/>
        <v>0</v>
      </c>
      <c r="R17" s="187" t="s">
        <v>549</v>
      </c>
      <c r="S17" s="187" t="s">
        <v>550</v>
      </c>
      <c r="T17" s="190">
        <v>3164493</v>
      </c>
      <c r="U17" s="190">
        <f t="shared" si="1"/>
        <v>0</v>
      </c>
      <c r="V17" s="212"/>
    </row>
    <row r="18" spans="1:22" s="189" customFormat="1" ht="60" x14ac:dyDescent="0.3">
      <c r="A18" s="179" t="s">
        <v>97</v>
      </c>
      <c r="B18" s="178" t="s">
        <v>529</v>
      </c>
      <c r="C18" s="62" t="s">
        <v>40</v>
      </c>
      <c r="D18" s="179" t="s">
        <v>98</v>
      </c>
      <c r="E18" s="187" t="s">
        <v>157</v>
      </c>
      <c r="F18" s="187" t="s">
        <v>500</v>
      </c>
      <c r="G18" s="193">
        <v>55121734</v>
      </c>
      <c r="H18" s="184" t="s">
        <v>551</v>
      </c>
      <c r="I18" s="184" t="s">
        <v>531</v>
      </c>
      <c r="J18" s="184" t="s">
        <v>504</v>
      </c>
      <c r="K18" s="187" t="s">
        <v>333</v>
      </c>
      <c r="L18" s="187" t="s">
        <v>160</v>
      </c>
      <c r="M18" s="205">
        <f>9148164-2.83</f>
        <v>9148161.1699999999</v>
      </c>
      <c r="N18" s="179">
        <v>30920</v>
      </c>
      <c r="O18" s="192">
        <v>44189</v>
      </c>
      <c r="P18" s="205">
        <f>9148164-2.83</f>
        <v>9148161.1699999999</v>
      </c>
      <c r="Q18" s="190">
        <f t="shared" si="0"/>
        <v>0</v>
      </c>
      <c r="R18" s="187" t="s">
        <v>552</v>
      </c>
      <c r="S18" s="187" t="s">
        <v>550</v>
      </c>
      <c r="T18" s="190">
        <v>9148161.1699999999</v>
      </c>
      <c r="U18" s="190">
        <f t="shared" si="1"/>
        <v>0</v>
      </c>
      <c r="V18" s="212"/>
    </row>
    <row r="19" spans="1:22" s="189" customFormat="1" ht="60" x14ac:dyDescent="0.3">
      <c r="A19" s="179" t="s">
        <v>97</v>
      </c>
      <c r="B19" s="178" t="s">
        <v>529</v>
      </c>
      <c r="C19" s="62" t="s">
        <v>40</v>
      </c>
      <c r="D19" s="179" t="s">
        <v>98</v>
      </c>
      <c r="E19" s="187" t="s">
        <v>157</v>
      </c>
      <c r="F19" s="187" t="s">
        <v>500</v>
      </c>
      <c r="G19" s="193">
        <v>55121734</v>
      </c>
      <c r="H19" s="184" t="s">
        <v>551</v>
      </c>
      <c r="I19" s="184" t="s">
        <v>503</v>
      </c>
      <c r="J19" s="184" t="s">
        <v>504</v>
      </c>
      <c r="K19" s="187" t="s">
        <v>333</v>
      </c>
      <c r="L19" s="187" t="s">
        <v>160</v>
      </c>
      <c r="M19" s="190">
        <v>13115481</v>
      </c>
      <c r="N19" s="179">
        <v>30920</v>
      </c>
      <c r="O19" s="192">
        <v>44189</v>
      </c>
      <c r="P19" s="205">
        <v>13115481</v>
      </c>
      <c r="Q19" s="190">
        <f t="shared" si="0"/>
        <v>0</v>
      </c>
      <c r="R19" s="187" t="s">
        <v>552</v>
      </c>
      <c r="S19" s="187" t="s">
        <v>550</v>
      </c>
      <c r="T19" s="190">
        <v>13115481</v>
      </c>
      <c r="U19" s="190">
        <f t="shared" si="1"/>
        <v>0</v>
      </c>
      <c r="V19" s="212"/>
    </row>
    <row r="20" spans="1:22" s="189" customFormat="1" ht="60" x14ac:dyDescent="0.3">
      <c r="A20" s="179" t="s">
        <v>97</v>
      </c>
      <c r="B20" s="179" t="s">
        <v>520</v>
      </c>
      <c r="C20" s="62" t="s">
        <v>40</v>
      </c>
      <c r="D20" s="179" t="s">
        <v>98</v>
      </c>
      <c r="E20" s="187" t="s">
        <v>157</v>
      </c>
      <c r="F20" s="187" t="s">
        <v>500</v>
      </c>
      <c r="G20" s="193">
        <v>14121904</v>
      </c>
      <c r="H20" s="184" t="s">
        <v>553</v>
      </c>
      <c r="I20" s="184" t="s">
        <v>503</v>
      </c>
      <c r="J20" s="184" t="s">
        <v>504</v>
      </c>
      <c r="K20" s="187" t="s">
        <v>333</v>
      </c>
      <c r="L20" s="187" t="s">
        <v>160</v>
      </c>
      <c r="M20" s="190">
        <f>82223863-28</f>
        <v>82223835</v>
      </c>
      <c r="N20" s="179">
        <v>26920</v>
      </c>
      <c r="O20" s="209">
        <v>44168</v>
      </c>
      <c r="P20" s="190">
        <f>82223863-28</f>
        <v>82223835</v>
      </c>
      <c r="Q20" s="190">
        <f t="shared" si="0"/>
        <v>0</v>
      </c>
      <c r="R20" s="187" t="s">
        <v>554</v>
      </c>
      <c r="S20" s="205" t="s">
        <v>555</v>
      </c>
      <c r="T20" s="190">
        <v>82223835</v>
      </c>
      <c r="U20" s="190">
        <f t="shared" si="1"/>
        <v>0</v>
      </c>
      <c r="V20" s="212"/>
    </row>
    <row r="21" spans="1:22" s="189" customFormat="1" ht="75" x14ac:dyDescent="0.3">
      <c r="A21" s="179" t="s">
        <v>97</v>
      </c>
      <c r="B21" s="178" t="s">
        <v>529</v>
      </c>
      <c r="C21" s="62" t="s">
        <v>40</v>
      </c>
      <c r="D21" s="179" t="s">
        <v>98</v>
      </c>
      <c r="E21" s="187" t="s">
        <v>157</v>
      </c>
      <c r="F21" s="187" t="s">
        <v>500</v>
      </c>
      <c r="G21" s="193" t="s">
        <v>507</v>
      </c>
      <c r="H21" s="184" t="s">
        <v>184</v>
      </c>
      <c r="I21" s="184" t="s">
        <v>531</v>
      </c>
      <c r="J21" s="184" t="s">
        <v>504</v>
      </c>
      <c r="K21" s="179" t="s">
        <v>85</v>
      </c>
      <c r="L21" s="187" t="s">
        <v>160</v>
      </c>
      <c r="M21" s="190">
        <f>30019949-13019949</f>
        <v>17000000</v>
      </c>
      <c r="N21" s="179">
        <v>15020</v>
      </c>
      <c r="O21" s="192">
        <v>44001</v>
      </c>
      <c r="P21" s="190">
        <f>30019949-13019949</f>
        <v>17000000</v>
      </c>
      <c r="Q21" s="190">
        <f>+M21-P21</f>
        <v>0</v>
      </c>
      <c r="R21" s="187" t="s">
        <v>556</v>
      </c>
      <c r="S21" s="192" t="s">
        <v>557</v>
      </c>
      <c r="T21" s="190">
        <v>17000000</v>
      </c>
      <c r="U21" s="190">
        <f t="shared" si="1"/>
        <v>0</v>
      </c>
      <c r="V21" s="212"/>
    </row>
    <row r="22" spans="1:22" s="189" customFormat="1" ht="75" x14ac:dyDescent="0.3">
      <c r="A22" s="179" t="s">
        <v>97</v>
      </c>
      <c r="B22" s="178" t="s">
        <v>529</v>
      </c>
      <c r="C22" s="62" t="s">
        <v>40</v>
      </c>
      <c r="D22" s="179" t="s">
        <v>98</v>
      </c>
      <c r="E22" s="187" t="s">
        <v>157</v>
      </c>
      <c r="F22" s="187" t="s">
        <v>500</v>
      </c>
      <c r="G22" s="193" t="s">
        <v>507</v>
      </c>
      <c r="H22" s="184" t="s">
        <v>187</v>
      </c>
      <c r="I22" s="184" t="s">
        <v>531</v>
      </c>
      <c r="J22" s="184" t="s">
        <v>504</v>
      </c>
      <c r="K22" s="179" t="s">
        <v>85</v>
      </c>
      <c r="L22" s="187" t="s">
        <v>160</v>
      </c>
      <c r="M22" s="190">
        <v>6500000</v>
      </c>
      <c r="N22" s="179">
        <v>23920</v>
      </c>
      <c r="O22" s="192">
        <v>44141</v>
      </c>
      <c r="P22" s="205">
        <v>6500000</v>
      </c>
      <c r="Q22" s="190">
        <f t="shared" si="0"/>
        <v>0</v>
      </c>
      <c r="R22" s="187" t="s">
        <v>558</v>
      </c>
      <c r="S22" s="187" t="s">
        <v>559</v>
      </c>
      <c r="T22" s="190">
        <f>3250000+3250000</f>
        <v>6500000</v>
      </c>
      <c r="U22" s="190">
        <f t="shared" si="1"/>
        <v>0</v>
      </c>
      <c r="V22" s="212"/>
    </row>
    <row r="23" spans="1:22" s="189" customFormat="1" ht="90" x14ac:dyDescent="0.3">
      <c r="A23" s="179" t="s">
        <v>39</v>
      </c>
      <c r="B23" s="178" t="s">
        <v>529</v>
      </c>
      <c r="C23" s="62" t="s">
        <v>40</v>
      </c>
      <c r="D23" s="179" t="s">
        <v>41</v>
      </c>
      <c r="E23" s="187" t="s">
        <v>42</v>
      </c>
      <c r="F23" s="187" t="s">
        <v>521</v>
      </c>
      <c r="G23" s="204">
        <v>78111502</v>
      </c>
      <c r="H23" s="184" t="s">
        <v>560</v>
      </c>
      <c r="I23" s="188" t="s">
        <v>531</v>
      </c>
      <c r="J23" s="188" t="s">
        <v>561</v>
      </c>
      <c r="K23" s="179" t="s">
        <v>562</v>
      </c>
      <c r="L23" s="187" t="s">
        <v>146</v>
      </c>
      <c r="M23" s="190">
        <f>33952708-19729312</f>
        <v>14223396</v>
      </c>
      <c r="N23" s="179">
        <v>8020</v>
      </c>
      <c r="O23" s="192">
        <v>43901</v>
      </c>
      <c r="P23" s="190">
        <f>33952708-19729312</f>
        <v>14223396</v>
      </c>
      <c r="Q23" s="190">
        <f t="shared" si="0"/>
        <v>0</v>
      </c>
      <c r="R23" s="187" t="s">
        <v>563</v>
      </c>
      <c r="S23" s="187" t="s">
        <v>564</v>
      </c>
      <c r="T23" s="190">
        <f>886950+19500+3347645+5375665+4593636</f>
        <v>14223396</v>
      </c>
      <c r="U23" s="190">
        <f t="shared" si="1"/>
        <v>0</v>
      </c>
      <c r="V23" s="212"/>
    </row>
    <row r="24" spans="1:22" s="189" customFormat="1" ht="90" x14ac:dyDescent="0.3">
      <c r="A24" s="179" t="s">
        <v>39</v>
      </c>
      <c r="B24" s="178" t="s">
        <v>529</v>
      </c>
      <c r="C24" s="62" t="s">
        <v>40</v>
      </c>
      <c r="D24" s="179" t="s">
        <v>41</v>
      </c>
      <c r="E24" s="187" t="s">
        <v>80</v>
      </c>
      <c r="F24" s="187" t="s">
        <v>521</v>
      </c>
      <c r="G24" s="193">
        <v>78111502</v>
      </c>
      <c r="H24" s="184" t="s">
        <v>560</v>
      </c>
      <c r="I24" s="184" t="s">
        <v>531</v>
      </c>
      <c r="J24" s="188" t="s">
        <v>561</v>
      </c>
      <c r="K24" s="179" t="s">
        <v>562</v>
      </c>
      <c r="L24" s="187" t="s">
        <v>146</v>
      </c>
      <c r="M24" s="190">
        <f>3200000-3200000</f>
        <v>0</v>
      </c>
      <c r="N24" s="179">
        <v>8020</v>
      </c>
      <c r="O24" s="192">
        <v>43901</v>
      </c>
      <c r="P24" s="190">
        <f>3200000-3200000</f>
        <v>0</v>
      </c>
      <c r="Q24" s="190">
        <f t="shared" si="0"/>
        <v>0</v>
      </c>
      <c r="R24" s="187" t="s">
        <v>563</v>
      </c>
      <c r="S24" s="187" t="s">
        <v>564</v>
      </c>
      <c r="T24" s="190"/>
      <c r="U24" s="190">
        <f t="shared" si="1"/>
        <v>0</v>
      </c>
      <c r="V24" s="212"/>
    </row>
    <row r="25" spans="1:22" s="189" customFormat="1" ht="90" x14ac:dyDescent="0.3">
      <c r="A25" s="179" t="s">
        <v>97</v>
      </c>
      <c r="B25" s="178" t="s">
        <v>529</v>
      </c>
      <c r="C25" s="62" t="s">
        <v>40</v>
      </c>
      <c r="D25" s="179" t="s">
        <v>98</v>
      </c>
      <c r="E25" s="187" t="s">
        <v>116</v>
      </c>
      <c r="F25" s="187" t="s">
        <v>539</v>
      </c>
      <c r="G25" s="193">
        <v>78111502</v>
      </c>
      <c r="H25" s="184" t="s">
        <v>560</v>
      </c>
      <c r="I25" s="184" t="s">
        <v>531</v>
      </c>
      <c r="J25" s="188" t="s">
        <v>561</v>
      </c>
      <c r="K25" s="187" t="s">
        <v>562</v>
      </c>
      <c r="L25" s="187" t="s">
        <v>146</v>
      </c>
      <c r="M25" s="190">
        <f>4800000-4800000</f>
        <v>0</v>
      </c>
      <c r="N25" s="179">
        <v>8020</v>
      </c>
      <c r="O25" s="192">
        <v>43901</v>
      </c>
      <c r="P25" s="190">
        <f>4800000-4800000</f>
        <v>0</v>
      </c>
      <c r="Q25" s="190">
        <f t="shared" si="0"/>
        <v>0</v>
      </c>
      <c r="R25" s="187" t="s">
        <v>563</v>
      </c>
      <c r="S25" s="187" t="s">
        <v>564</v>
      </c>
      <c r="T25" s="190"/>
      <c r="U25" s="190">
        <f t="shared" si="1"/>
        <v>0</v>
      </c>
      <c r="V25" s="212"/>
    </row>
    <row r="26" spans="1:22" s="189" customFormat="1" ht="90" x14ac:dyDescent="0.3">
      <c r="A26" s="179" t="s">
        <v>194</v>
      </c>
      <c r="B26" s="178" t="s">
        <v>529</v>
      </c>
      <c r="C26" s="62" t="s">
        <v>40</v>
      </c>
      <c r="D26" s="179" t="s">
        <v>195</v>
      </c>
      <c r="E26" s="187" t="s">
        <v>196</v>
      </c>
      <c r="F26" s="187" t="s">
        <v>521</v>
      </c>
      <c r="G26" s="193">
        <v>78111502</v>
      </c>
      <c r="H26" s="184" t="s">
        <v>560</v>
      </c>
      <c r="I26" s="184" t="s">
        <v>531</v>
      </c>
      <c r="J26" s="188" t="s">
        <v>561</v>
      </c>
      <c r="K26" s="179" t="s">
        <v>562</v>
      </c>
      <c r="L26" s="187" t="s">
        <v>146</v>
      </c>
      <c r="M26" s="190">
        <f>1600000-1600000</f>
        <v>0</v>
      </c>
      <c r="N26" s="179">
        <v>8020</v>
      </c>
      <c r="O26" s="192">
        <v>43901</v>
      </c>
      <c r="P26" s="190">
        <f>1600000-1600000</f>
        <v>0</v>
      </c>
      <c r="Q26" s="190">
        <f t="shared" si="0"/>
        <v>0</v>
      </c>
      <c r="R26" s="187" t="s">
        <v>563</v>
      </c>
      <c r="S26" s="187" t="s">
        <v>564</v>
      </c>
      <c r="T26" s="190"/>
      <c r="U26" s="190">
        <f t="shared" si="1"/>
        <v>0</v>
      </c>
      <c r="V26" s="212"/>
    </row>
    <row r="27" spans="1:22" s="189" customFormat="1" ht="90" x14ac:dyDescent="0.3">
      <c r="A27" s="179" t="s">
        <v>194</v>
      </c>
      <c r="B27" s="178" t="s">
        <v>529</v>
      </c>
      <c r="C27" s="62" t="s">
        <v>40</v>
      </c>
      <c r="D27" s="179" t="s">
        <v>195</v>
      </c>
      <c r="E27" s="187" t="s">
        <v>204</v>
      </c>
      <c r="F27" s="187" t="s">
        <v>521</v>
      </c>
      <c r="G27" s="193">
        <v>78111502</v>
      </c>
      <c r="H27" s="184" t="s">
        <v>560</v>
      </c>
      <c r="I27" s="184" t="s">
        <v>531</v>
      </c>
      <c r="J27" s="188" t="s">
        <v>561</v>
      </c>
      <c r="K27" s="179" t="s">
        <v>562</v>
      </c>
      <c r="L27" s="187" t="s">
        <v>146</v>
      </c>
      <c r="M27" s="190">
        <f>16000000-12727536</f>
        <v>3272464</v>
      </c>
      <c r="N27" s="179">
        <v>8020</v>
      </c>
      <c r="O27" s="192">
        <v>43901</v>
      </c>
      <c r="P27" s="190">
        <f>16000000-12727536</f>
        <v>3272464</v>
      </c>
      <c r="Q27" s="190">
        <f t="shared" si="0"/>
        <v>0</v>
      </c>
      <c r="R27" s="187" t="s">
        <v>563</v>
      </c>
      <c r="S27" s="187" t="s">
        <v>564</v>
      </c>
      <c r="T27" s="190">
        <v>3272464</v>
      </c>
      <c r="U27" s="190">
        <f t="shared" si="1"/>
        <v>0</v>
      </c>
      <c r="V27" s="212"/>
    </row>
    <row r="28" spans="1:22" s="189" customFormat="1" ht="142.19999999999999" customHeight="1" x14ac:dyDescent="0.3">
      <c r="A28" s="179" t="s">
        <v>97</v>
      </c>
      <c r="B28" s="178" t="s">
        <v>529</v>
      </c>
      <c r="C28" s="62" t="s">
        <v>40</v>
      </c>
      <c r="D28" s="179" t="s">
        <v>98</v>
      </c>
      <c r="E28" s="187" t="s">
        <v>141</v>
      </c>
      <c r="F28" s="187" t="s">
        <v>142</v>
      </c>
      <c r="G28" s="193">
        <v>78102203</v>
      </c>
      <c r="H28" s="184" t="s">
        <v>143</v>
      </c>
      <c r="I28" s="184" t="s">
        <v>531</v>
      </c>
      <c r="J28" s="184" t="s">
        <v>561</v>
      </c>
      <c r="K28" s="179" t="s">
        <v>85</v>
      </c>
      <c r="L28" s="187" t="s">
        <v>146</v>
      </c>
      <c r="M28" s="190">
        <f>8075750-499600</f>
        <v>7576150</v>
      </c>
      <c r="N28" s="179">
        <v>11920</v>
      </c>
      <c r="O28" s="192">
        <v>43955</v>
      </c>
      <c r="P28" s="190">
        <f>8075750-499600</f>
        <v>7576150</v>
      </c>
      <c r="Q28" s="190">
        <f t="shared" si="0"/>
        <v>0</v>
      </c>
      <c r="R28" s="187" t="s">
        <v>565</v>
      </c>
      <c r="S28" s="187" t="s">
        <v>566</v>
      </c>
      <c r="T28" s="190">
        <f>2449100+27800+1544350+2186250+99350+678500+590800</f>
        <v>7576150</v>
      </c>
      <c r="U28" s="190">
        <f t="shared" si="1"/>
        <v>0</v>
      </c>
      <c r="V28" s="212"/>
    </row>
    <row r="29" spans="1:22" s="189" customFormat="1" ht="75" x14ac:dyDescent="0.3">
      <c r="A29" s="179" t="s">
        <v>97</v>
      </c>
      <c r="B29" s="187" t="s">
        <v>514</v>
      </c>
      <c r="C29" s="62" t="s">
        <v>40</v>
      </c>
      <c r="D29" s="179" t="s">
        <v>98</v>
      </c>
      <c r="E29" s="187" t="s">
        <v>157</v>
      </c>
      <c r="F29" s="187" t="s">
        <v>500</v>
      </c>
      <c r="G29" s="193" t="s">
        <v>507</v>
      </c>
      <c r="H29" s="184" t="s">
        <v>188</v>
      </c>
      <c r="I29" s="184" t="s">
        <v>503</v>
      </c>
      <c r="J29" s="184" t="s">
        <v>504</v>
      </c>
      <c r="K29" s="179" t="s">
        <v>85</v>
      </c>
      <c r="L29" s="187" t="s">
        <v>160</v>
      </c>
      <c r="M29" s="190">
        <v>700</v>
      </c>
      <c r="N29" s="179">
        <v>23420</v>
      </c>
      <c r="O29" s="192">
        <v>44134</v>
      </c>
      <c r="P29" s="205">
        <v>700</v>
      </c>
      <c r="Q29" s="190">
        <f t="shared" si="0"/>
        <v>0</v>
      </c>
      <c r="R29" s="187" t="s">
        <v>567</v>
      </c>
      <c r="S29" s="187" t="s">
        <v>568</v>
      </c>
      <c r="T29" s="190">
        <v>700</v>
      </c>
      <c r="U29" s="190">
        <f t="shared" si="1"/>
        <v>0</v>
      </c>
      <c r="V29" s="212"/>
    </row>
    <row r="30" spans="1:22" s="189" customFormat="1" ht="60" x14ac:dyDescent="0.3">
      <c r="A30" s="179" t="s">
        <v>97</v>
      </c>
      <c r="B30" s="178" t="s">
        <v>529</v>
      </c>
      <c r="C30" s="62" t="s">
        <v>40</v>
      </c>
      <c r="D30" s="179" t="s">
        <v>98</v>
      </c>
      <c r="E30" s="187" t="s">
        <v>569</v>
      </c>
      <c r="F30" s="187" t="s">
        <v>570</v>
      </c>
      <c r="G30" s="193" t="s">
        <v>571</v>
      </c>
      <c r="H30" s="186" t="s">
        <v>572</v>
      </c>
      <c r="I30" s="184" t="s">
        <v>531</v>
      </c>
      <c r="J30" s="184" t="s">
        <v>504</v>
      </c>
      <c r="K30" s="179" t="s">
        <v>191</v>
      </c>
      <c r="L30" s="187" t="s">
        <v>270</v>
      </c>
      <c r="M30" s="190">
        <v>20441811</v>
      </c>
      <c r="N30" s="179">
        <v>27920</v>
      </c>
      <c r="O30" s="192">
        <v>44175</v>
      </c>
      <c r="P30" s="205">
        <v>20441811</v>
      </c>
      <c r="Q30" s="190">
        <f t="shared" si="0"/>
        <v>0</v>
      </c>
      <c r="R30" s="187" t="s">
        <v>573</v>
      </c>
      <c r="S30" s="187" t="s">
        <v>574</v>
      </c>
      <c r="T30" s="190">
        <v>20441811</v>
      </c>
      <c r="U30" s="190">
        <f t="shared" si="1"/>
        <v>0</v>
      </c>
      <c r="V30" s="212"/>
    </row>
    <row r="31" spans="1:22" s="189" customFormat="1" ht="60" x14ac:dyDescent="0.3">
      <c r="A31" s="179" t="s">
        <v>97</v>
      </c>
      <c r="B31" s="178" t="s">
        <v>529</v>
      </c>
      <c r="C31" s="62" t="s">
        <v>40</v>
      </c>
      <c r="D31" s="179" t="s">
        <v>98</v>
      </c>
      <c r="E31" s="187" t="s">
        <v>569</v>
      </c>
      <c r="F31" s="187" t="s">
        <v>570</v>
      </c>
      <c r="G31" s="193" t="s">
        <v>571</v>
      </c>
      <c r="H31" s="186" t="s">
        <v>572</v>
      </c>
      <c r="I31" s="184" t="s">
        <v>503</v>
      </c>
      <c r="J31" s="184" t="s">
        <v>504</v>
      </c>
      <c r="K31" s="179" t="s">
        <v>191</v>
      </c>
      <c r="L31" s="187" t="s">
        <v>270</v>
      </c>
      <c r="M31" s="190">
        <v>1158189</v>
      </c>
      <c r="N31" s="179">
        <v>27920</v>
      </c>
      <c r="O31" s="192">
        <v>44175</v>
      </c>
      <c r="P31" s="205">
        <v>1158189</v>
      </c>
      <c r="Q31" s="190">
        <f t="shared" si="0"/>
        <v>0</v>
      </c>
      <c r="R31" s="187" t="s">
        <v>573</v>
      </c>
      <c r="S31" s="187" t="s">
        <v>574</v>
      </c>
      <c r="T31" s="190">
        <v>1158189</v>
      </c>
      <c r="U31" s="190">
        <f t="shared" si="1"/>
        <v>0</v>
      </c>
      <c r="V31" s="212"/>
    </row>
    <row r="32" spans="1:22" s="189" customFormat="1" ht="60" x14ac:dyDescent="0.3">
      <c r="A32" s="179" t="s">
        <v>97</v>
      </c>
      <c r="B32" s="179" t="s">
        <v>499</v>
      </c>
      <c r="C32" s="62" t="s">
        <v>40</v>
      </c>
      <c r="D32" s="179" t="s">
        <v>98</v>
      </c>
      <c r="E32" s="187" t="s">
        <v>542</v>
      </c>
      <c r="F32" s="187" t="s">
        <v>539</v>
      </c>
      <c r="G32" s="204">
        <v>43211711</v>
      </c>
      <c r="H32" s="210" t="s">
        <v>575</v>
      </c>
      <c r="I32" s="184" t="s">
        <v>503</v>
      </c>
      <c r="J32" s="184" t="s">
        <v>535</v>
      </c>
      <c r="K32" s="196" t="s">
        <v>191</v>
      </c>
      <c r="L32" s="187" t="s">
        <v>536</v>
      </c>
      <c r="M32" s="190">
        <v>64846898</v>
      </c>
      <c r="N32" s="179">
        <v>27120</v>
      </c>
      <c r="O32" s="203">
        <v>44169</v>
      </c>
      <c r="P32" s="205">
        <v>64846898</v>
      </c>
      <c r="Q32" s="190">
        <f t="shared" si="0"/>
        <v>0</v>
      </c>
      <c r="R32" s="187" t="s">
        <v>576</v>
      </c>
      <c r="S32" s="187" t="s">
        <v>577</v>
      </c>
      <c r="T32" s="190">
        <v>64846898</v>
      </c>
      <c r="U32" s="190">
        <f t="shared" si="1"/>
        <v>0</v>
      </c>
      <c r="V32" s="212"/>
    </row>
    <row r="33" spans="1:22" s="189" customFormat="1" ht="75" x14ac:dyDescent="0.3">
      <c r="A33" s="179" t="s">
        <v>194</v>
      </c>
      <c r="B33" s="187" t="s">
        <v>514</v>
      </c>
      <c r="C33" s="62" t="s">
        <v>40</v>
      </c>
      <c r="D33" s="179" t="s">
        <v>195</v>
      </c>
      <c r="E33" s="187" t="s">
        <v>196</v>
      </c>
      <c r="F33" s="187" t="s">
        <v>521</v>
      </c>
      <c r="G33" s="193" t="s">
        <v>578</v>
      </c>
      <c r="H33" s="184" t="s">
        <v>579</v>
      </c>
      <c r="I33" s="184" t="s">
        <v>503</v>
      </c>
      <c r="J33" s="184" t="s">
        <v>504</v>
      </c>
      <c r="K33" s="187" t="s">
        <v>580</v>
      </c>
      <c r="L33" s="187" t="s">
        <v>581</v>
      </c>
      <c r="M33" s="190">
        <v>20000000</v>
      </c>
      <c r="N33" s="179">
        <v>24520</v>
      </c>
      <c r="O33" s="192">
        <v>44144</v>
      </c>
      <c r="P33" s="205">
        <v>20000000</v>
      </c>
      <c r="Q33" s="190">
        <f t="shared" si="0"/>
        <v>0</v>
      </c>
      <c r="R33" s="187" t="s">
        <v>582</v>
      </c>
      <c r="S33" s="187" t="s">
        <v>583</v>
      </c>
      <c r="T33" s="190">
        <f>2000000+9000000+9000000</f>
        <v>20000000</v>
      </c>
      <c r="U33" s="190">
        <f t="shared" si="1"/>
        <v>0</v>
      </c>
      <c r="V33" s="214" t="s">
        <v>584</v>
      </c>
    </row>
    <row r="34" spans="1:22" s="189" customFormat="1" ht="102" customHeight="1" x14ac:dyDescent="0.3">
      <c r="A34" s="187" t="s">
        <v>585</v>
      </c>
      <c r="B34" s="178" t="s">
        <v>529</v>
      </c>
      <c r="C34" s="61" t="s">
        <v>213</v>
      </c>
      <c r="D34" s="179" t="s">
        <v>229</v>
      </c>
      <c r="E34" s="187" t="s">
        <v>234</v>
      </c>
      <c r="F34" s="187" t="s">
        <v>231</v>
      </c>
      <c r="G34" s="193" t="s">
        <v>586</v>
      </c>
      <c r="H34" s="184" t="s">
        <v>236</v>
      </c>
      <c r="I34" s="184" t="s">
        <v>531</v>
      </c>
      <c r="J34" s="184" t="s">
        <v>144</v>
      </c>
      <c r="K34" s="179" t="s">
        <v>85</v>
      </c>
      <c r="L34" s="187" t="s">
        <v>233</v>
      </c>
      <c r="M34" s="190">
        <v>7300000</v>
      </c>
      <c r="N34" s="179">
        <v>26220</v>
      </c>
      <c r="O34" s="192">
        <v>44165</v>
      </c>
      <c r="P34" s="190">
        <v>7300000</v>
      </c>
      <c r="Q34" s="190">
        <f t="shared" si="0"/>
        <v>0</v>
      </c>
      <c r="R34" s="187" t="s">
        <v>587</v>
      </c>
      <c r="S34" s="187" t="s">
        <v>588</v>
      </c>
      <c r="T34" s="190">
        <f>3650000+3650000</f>
        <v>7300000</v>
      </c>
      <c r="U34" s="190">
        <f t="shared" si="1"/>
        <v>0</v>
      </c>
      <c r="V34" s="212"/>
    </row>
    <row r="35" spans="1:22" s="189" customFormat="1" ht="105" x14ac:dyDescent="0.3">
      <c r="A35" s="179" t="s">
        <v>589</v>
      </c>
      <c r="B35" s="178" t="s">
        <v>529</v>
      </c>
      <c r="C35" s="61" t="s">
        <v>213</v>
      </c>
      <c r="D35" s="179" t="s">
        <v>590</v>
      </c>
      <c r="E35" s="187" t="s">
        <v>591</v>
      </c>
      <c r="F35" s="187" t="s">
        <v>142</v>
      </c>
      <c r="G35" s="193">
        <v>72103300</v>
      </c>
      <c r="H35" s="183" t="s">
        <v>592</v>
      </c>
      <c r="I35" s="184" t="s">
        <v>503</v>
      </c>
      <c r="J35" s="184" t="s">
        <v>561</v>
      </c>
      <c r="K35" s="196" t="s">
        <v>593</v>
      </c>
      <c r="L35" s="187" t="s">
        <v>146</v>
      </c>
      <c r="M35" s="190">
        <v>8000001</v>
      </c>
      <c r="N35" s="179">
        <v>14320</v>
      </c>
      <c r="O35" s="192">
        <v>43998</v>
      </c>
      <c r="P35" s="190">
        <v>8000001</v>
      </c>
      <c r="Q35" s="190">
        <f t="shared" si="0"/>
        <v>0</v>
      </c>
      <c r="R35" s="187" t="s">
        <v>594</v>
      </c>
      <c r="S35" s="187" t="s">
        <v>595</v>
      </c>
      <c r="T35" s="190">
        <f>4000001+4000000</f>
        <v>8000001</v>
      </c>
      <c r="U35" s="190">
        <f t="shared" si="1"/>
        <v>0</v>
      </c>
      <c r="V35" s="212"/>
    </row>
    <row r="36" spans="1:22" s="189" customFormat="1" ht="105" x14ac:dyDescent="0.3">
      <c r="A36" s="179" t="s">
        <v>589</v>
      </c>
      <c r="B36" s="187" t="s">
        <v>514</v>
      </c>
      <c r="C36" s="61" t="s">
        <v>213</v>
      </c>
      <c r="D36" s="179" t="s">
        <v>590</v>
      </c>
      <c r="E36" s="187" t="s">
        <v>591</v>
      </c>
      <c r="F36" s="187" t="s">
        <v>142</v>
      </c>
      <c r="G36" s="193" t="s">
        <v>596</v>
      </c>
      <c r="H36" s="183" t="s">
        <v>597</v>
      </c>
      <c r="I36" s="184" t="s">
        <v>503</v>
      </c>
      <c r="J36" s="184" t="s">
        <v>561</v>
      </c>
      <c r="K36" s="179" t="s">
        <v>357</v>
      </c>
      <c r="L36" s="187" t="s">
        <v>146</v>
      </c>
      <c r="M36" s="190">
        <f>91093572+7229379</f>
        <v>98322951</v>
      </c>
      <c r="N36" s="179" t="s">
        <v>598</v>
      </c>
      <c r="O36" s="197" t="s">
        <v>599</v>
      </c>
      <c r="P36" s="190">
        <f>91093572+7229379</f>
        <v>98322951</v>
      </c>
      <c r="Q36" s="190">
        <f t="shared" si="0"/>
        <v>0</v>
      </c>
      <c r="R36" s="187" t="s">
        <v>600</v>
      </c>
      <c r="S36" s="187" t="s">
        <v>601</v>
      </c>
      <c r="T36" s="190">
        <f>54656143.55+36437428.45+7229379</f>
        <v>98322951</v>
      </c>
      <c r="U36" s="190">
        <f t="shared" si="1"/>
        <v>0</v>
      </c>
      <c r="V36" s="214" t="s">
        <v>602</v>
      </c>
    </row>
    <row r="37" spans="1:22" s="189" customFormat="1" ht="73.5" customHeight="1" x14ac:dyDescent="0.3">
      <c r="A37" s="179" t="s">
        <v>258</v>
      </c>
      <c r="B37" s="187" t="s">
        <v>514</v>
      </c>
      <c r="C37" s="61" t="s">
        <v>213</v>
      </c>
      <c r="D37" s="179" t="s">
        <v>259</v>
      </c>
      <c r="E37" s="187" t="s">
        <v>260</v>
      </c>
      <c r="F37" s="187" t="s">
        <v>261</v>
      </c>
      <c r="G37" s="200">
        <v>81112100</v>
      </c>
      <c r="H37" s="186" t="s">
        <v>278</v>
      </c>
      <c r="I37" s="184" t="s">
        <v>503</v>
      </c>
      <c r="J37" s="184" t="s">
        <v>247</v>
      </c>
      <c r="K37" s="179" t="s">
        <v>85</v>
      </c>
      <c r="L37" s="184" t="s">
        <v>263</v>
      </c>
      <c r="M37" s="190">
        <f>6994256+7579932</f>
        <v>14574188</v>
      </c>
      <c r="N37" s="187" t="s">
        <v>603</v>
      </c>
      <c r="O37" s="197" t="s">
        <v>604</v>
      </c>
      <c r="P37" s="190">
        <f>6994256+7579932</f>
        <v>14574188</v>
      </c>
      <c r="Q37" s="190">
        <f t="shared" si="0"/>
        <v>0</v>
      </c>
      <c r="R37" s="187" t="s">
        <v>605</v>
      </c>
      <c r="S37" s="195" t="s">
        <v>606</v>
      </c>
      <c r="T37" s="190">
        <f>5029932+1964324+3065608+4514324</f>
        <v>14574188</v>
      </c>
      <c r="U37" s="190">
        <f t="shared" si="1"/>
        <v>0</v>
      </c>
      <c r="V37" s="214" t="s">
        <v>607</v>
      </c>
    </row>
    <row r="38" spans="1:22" s="189" customFormat="1" ht="73.5" customHeight="1" x14ac:dyDescent="0.3">
      <c r="A38" s="179" t="s">
        <v>258</v>
      </c>
      <c r="B38" s="178" t="s">
        <v>529</v>
      </c>
      <c r="C38" s="61" t="s">
        <v>213</v>
      </c>
      <c r="D38" s="179" t="s">
        <v>259</v>
      </c>
      <c r="E38" s="187" t="s">
        <v>260</v>
      </c>
      <c r="F38" s="187" t="s">
        <v>261</v>
      </c>
      <c r="G38" s="200">
        <v>81112100</v>
      </c>
      <c r="H38" s="186" t="s">
        <v>278</v>
      </c>
      <c r="I38" s="184" t="s">
        <v>531</v>
      </c>
      <c r="J38" s="184" t="s">
        <v>247</v>
      </c>
      <c r="K38" s="179" t="s">
        <v>85</v>
      </c>
      <c r="L38" s="184" t="s">
        <v>263</v>
      </c>
      <c r="M38" s="190">
        <v>4087208</v>
      </c>
      <c r="N38" s="187">
        <v>31620</v>
      </c>
      <c r="O38" s="197">
        <v>44194</v>
      </c>
      <c r="P38" s="190">
        <v>4087208</v>
      </c>
      <c r="Q38" s="190">
        <f t="shared" si="0"/>
        <v>0</v>
      </c>
      <c r="R38" s="187" t="s">
        <v>608</v>
      </c>
      <c r="S38" s="195" t="s">
        <v>280</v>
      </c>
      <c r="T38" s="190">
        <f>3707259.99+379948.01</f>
        <v>4087208</v>
      </c>
      <c r="U38" s="190">
        <f t="shared" si="1"/>
        <v>0</v>
      </c>
      <c r="V38" s="212"/>
    </row>
    <row r="39" spans="1:22" s="189" customFormat="1" ht="79.5" customHeight="1" x14ac:dyDescent="0.3">
      <c r="A39" s="179" t="s">
        <v>212</v>
      </c>
      <c r="B39" s="178" t="s">
        <v>529</v>
      </c>
      <c r="C39" s="61" t="s">
        <v>213</v>
      </c>
      <c r="D39" s="179" t="s">
        <v>214</v>
      </c>
      <c r="E39" s="187" t="s">
        <v>215</v>
      </c>
      <c r="F39" s="187" t="s">
        <v>216</v>
      </c>
      <c r="G39" s="202" t="s">
        <v>609</v>
      </c>
      <c r="H39" s="183" t="s">
        <v>610</v>
      </c>
      <c r="I39" s="184" t="s">
        <v>503</v>
      </c>
      <c r="J39" s="184" t="s">
        <v>561</v>
      </c>
      <c r="K39" s="196" t="s">
        <v>611</v>
      </c>
      <c r="L39" s="187" t="s">
        <v>612</v>
      </c>
      <c r="M39" s="190">
        <v>4695244</v>
      </c>
      <c r="N39" s="179">
        <v>4820</v>
      </c>
      <c r="O39" s="192">
        <v>43885</v>
      </c>
      <c r="P39" s="205">
        <v>4695244</v>
      </c>
      <c r="Q39" s="190">
        <f t="shared" si="0"/>
        <v>0</v>
      </c>
      <c r="R39" s="187" t="s">
        <v>613</v>
      </c>
      <c r="S39" s="187" t="s">
        <v>614</v>
      </c>
      <c r="T39" s="190">
        <f>2347622+2347622</f>
        <v>4695244</v>
      </c>
      <c r="U39" s="190">
        <f t="shared" si="1"/>
        <v>0</v>
      </c>
      <c r="V39" s="212"/>
    </row>
    <row r="40" spans="1:22" s="189" customFormat="1" ht="73.5" customHeight="1" x14ac:dyDescent="0.3">
      <c r="A40" s="179" t="s">
        <v>258</v>
      </c>
      <c r="B40" s="179" t="s">
        <v>929</v>
      </c>
      <c r="C40" s="61" t="s">
        <v>213</v>
      </c>
      <c r="D40" s="179" t="s">
        <v>259</v>
      </c>
      <c r="E40" s="187" t="s">
        <v>260</v>
      </c>
      <c r="F40" s="187" t="s">
        <v>261</v>
      </c>
      <c r="G40" s="193" t="s">
        <v>615</v>
      </c>
      <c r="H40" s="183" t="s">
        <v>616</v>
      </c>
      <c r="I40" s="184" t="s">
        <v>531</v>
      </c>
      <c r="J40" s="184" t="s">
        <v>247</v>
      </c>
      <c r="K40" s="179" t="s">
        <v>191</v>
      </c>
      <c r="L40" s="184" t="s">
        <v>450</v>
      </c>
      <c r="M40" s="190">
        <f>6.32-6.32</f>
        <v>0</v>
      </c>
      <c r="N40" s="179">
        <v>24220</v>
      </c>
      <c r="O40" s="197" t="s">
        <v>617</v>
      </c>
      <c r="P40" s="205">
        <f>6.32-6.32</f>
        <v>0</v>
      </c>
      <c r="Q40" s="190">
        <f t="shared" si="0"/>
        <v>0</v>
      </c>
      <c r="R40" s="187" t="s">
        <v>618</v>
      </c>
      <c r="S40" s="187" t="s">
        <v>619</v>
      </c>
      <c r="T40" s="190"/>
      <c r="U40" s="190">
        <f t="shared" si="1"/>
        <v>0</v>
      </c>
      <c r="V40" s="212"/>
    </row>
    <row r="41" spans="1:22" s="189" customFormat="1" ht="73.5" customHeight="1" x14ac:dyDescent="0.3">
      <c r="A41" s="179" t="s">
        <v>258</v>
      </c>
      <c r="B41" s="179" t="s">
        <v>929</v>
      </c>
      <c r="C41" s="61" t="s">
        <v>213</v>
      </c>
      <c r="D41" s="179" t="s">
        <v>259</v>
      </c>
      <c r="E41" s="187" t="s">
        <v>260</v>
      </c>
      <c r="F41" s="187" t="s">
        <v>261</v>
      </c>
      <c r="G41" s="193" t="s">
        <v>615</v>
      </c>
      <c r="H41" s="183" t="s">
        <v>616</v>
      </c>
      <c r="I41" s="184" t="s">
        <v>503</v>
      </c>
      <c r="J41" s="184" t="s">
        <v>247</v>
      </c>
      <c r="K41" s="179" t="s">
        <v>191</v>
      </c>
      <c r="L41" s="184" t="s">
        <v>450</v>
      </c>
      <c r="M41" s="190">
        <f>16711405+4284408</f>
        <v>20995813</v>
      </c>
      <c r="N41" s="179" t="s">
        <v>620</v>
      </c>
      <c r="O41" s="197" t="s">
        <v>617</v>
      </c>
      <c r="P41" s="205">
        <f>16711405+4284408</f>
        <v>20995813</v>
      </c>
      <c r="Q41" s="190">
        <f t="shared" si="0"/>
        <v>0</v>
      </c>
      <c r="R41" s="187" t="s">
        <v>618</v>
      </c>
      <c r="S41" s="187" t="s">
        <v>619</v>
      </c>
      <c r="T41" s="190">
        <f>16711405+4284408</f>
        <v>20995813</v>
      </c>
      <c r="U41" s="190">
        <f t="shared" si="1"/>
        <v>0</v>
      </c>
      <c r="V41" s="214" t="s">
        <v>930</v>
      </c>
    </row>
    <row r="42" spans="1:22" s="189" customFormat="1" ht="51" customHeight="1" x14ac:dyDescent="0.3">
      <c r="A42" s="178" t="s">
        <v>435</v>
      </c>
      <c r="B42" s="178" t="s">
        <v>529</v>
      </c>
      <c r="C42" s="215" t="s">
        <v>363</v>
      </c>
      <c r="D42" s="178" t="s">
        <v>621</v>
      </c>
      <c r="E42" s="178" t="s">
        <v>65</v>
      </c>
      <c r="F42" s="178" t="s">
        <v>142</v>
      </c>
      <c r="G42" s="177" t="s">
        <v>437</v>
      </c>
      <c r="H42" s="177" t="s">
        <v>438</v>
      </c>
      <c r="I42" s="176" t="s">
        <v>622</v>
      </c>
      <c r="J42" s="177" t="s">
        <v>144</v>
      </c>
      <c r="K42" s="178" t="s">
        <v>85</v>
      </c>
      <c r="L42" s="187" t="s">
        <v>146</v>
      </c>
      <c r="M42" s="190">
        <f>2992139.29-1077711.3</f>
        <v>1914427.99</v>
      </c>
      <c r="N42" s="179">
        <v>13520</v>
      </c>
      <c r="O42" s="191">
        <v>43985</v>
      </c>
      <c r="P42" s="190">
        <f>2992139.29-1077711.3</f>
        <v>1914427.99</v>
      </c>
      <c r="Q42" s="190">
        <f t="shared" si="0"/>
        <v>0</v>
      </c>
      <c r="R42" s="177" t="s">
        <v>623</v>
      </c>
      <c r="S42" s="177" t="s">
        <v>440</v>
      </c>
      <c r="T42" s="190">
        <f>395699.99+241000+1277728</f>
        <v>1914427.99</v>
      </c>
      <c r="U42" s="190">
        <f>+M42-T42</f>
        <v>0</v>
      </c>
      <c r="V42" s="212"/>
    </row>
    <row r="43" spans="1:22" s="189" customFormat="1" ht="60.75" customHeight="1" x14ac:dyDescent="0.3">
      <c r="A43" s="185" t="s">
        <v>624</v>
      </c>
      <c r="B43" s="185" t="s">
        <v>499</v>
      </c>
      <c r="C43" s="215" t="s">
        <v>363</v>
      </c>
      <c r="D43" s="178" t="s">
        <v>625</v>
      </c>
      <c r="E43" s="178" t="s">
        <v>65</v>
      </c>
      <c r="F43" s="178" t="s">
        <v>231</v>
      </c>
      <c r="G43" s="177">
        <v>93141506</v>
      </c>
      <c r="H43" s="177" t="s">
        <v>626</v>
      </c>
      <c r="I43" s="176" t="s">
        <v>503</v>
      </c>
      <c r="J43" s="178" t="s">
        <v>144</v>
      </c>
      <c r="K43" s="178" t="s">
        <v>85</v>
      </c>
      <c r="L43" s="177" t="s">
        <v>233</v>
      </c>
      <c r="M43" s="190">
        <v>4952902</v>
      </c>
      <c r="N43" s="178">
        <v>26220</v>
      </c>
      <c r="O43" s="191">
        <v>44165</v>
      </c>
      <c r="P43" s="190">
        <v>4952902</v>
      </c>
      <c r="Q43" s="190">
        <f t="shared" ref="Q43:Q68" si="2">+M43-P43</f>
        <v>0</v>
      </c>
      <c r="R43" s="194" t="s">
        <v>587</v>
      </c>
      <c r="S43" s="195" t="s">
        <v>588</v>
      </c>
      <c r="T43" s="190">
        <v>4952902</v>
      </c>
      <c r="U43" s="190">
        <f t="shared" ref="U43:U68" si="3">+P43-T43</f>
        <v>0</v>
      </c>
      <c r="V43" s="212"/>
    </row>
    <row r="44" spans="1:22" s="189" customFormat="1" ht="36.75" customHeight="1" x14ac:dyDescent="0.3">
      <c r="A44" s="182" t="s">
        <v>435</v>
      </c>
      <c r="B44" s="178" t="s">
        <v>529</v>
      </c>
      <c r="C44" s="215" t="s">
        <v>363</v>
      </c>
      <c r="D44" s="178" t="s">
        <v>621</v>
      </c>
      <c r="E44" s="178" t="s">
        <v>65</v>
      </c>
      <c r="F44" s="178" t="s">
        <v>142</v>
      </c>
      <c r="G44" s="177">
        <v>78181500</v>
      </c>
      <c r="H44" s="177" t="s">
        <v>436</v>
      </c>
      <c r="I44" s="176" t="s">
        <v>622</v>
      </c>
      <c r="J44" s="177" t="s">
        <v>144</v>
      </c>
      <c r="K44" s="178" t="s">
        <v>85</v>
      </c>
      <c r="L44" s="187" t="s">
        <v>146</v>
      </c>
      <c r="M44" s="190">
        <f>5116035-2941905</f>
        <v>2174130</v>
      </c>
      <c r="N44" s="179">
        <v>11120</v>
      </c>
      <c r="O44" s="191">
        <v>43943</v>
      </c>
      <c r="P44" s="190">
        <f>5116035-2941905</f>
        <v>2174130</v>
      </c>
      <c r="Q44" s="190">
        <f t="shared" si="2"/>
        <v>0</v>
      </c>
      <c r="R44" s="177" t="s">
        <v>627</v>
      </c>
      <c r="S44" s="177" t="s">
        <v>628</v>
      </c>
      <c r="T44" s="190">
        <f>1626730+547400</f>
        <v>2174130</v>
      </c>
      <c r="U44" s="190">
        <f t="shared" si="3"/>
        <v>0</v>
      </c>
      <c r="V44" s="212"/>
    </row>
    <row r="45" spans="1:22" s="189" customFormat="1" ht="53.25" customHeight="1" x14ac:dyDescent="0.3">
      <c r="A45" s="185" t="s">
        <v>354</v>
      </c>
      <c r="B45" s="178" t="s">
        <v>529</v>
      </c>
      <c r="C45" s="215" t="s">
        <v>363</v>
      </c>
      <c r="D45" s="178" t="s">
        <v>629</v>
      </c>
      <c r="E45" s="178" t="s">
        <v>65</v>
      </c>
      <c r="F45" s="178" t="s">
        <v>142</v>
      </c>
      <c r="G45" s="177">
        <v>72103300</v>
      </c>
      <c r="H45" s="177" t="s">
        <v>630</v>
      </c>
      <c r="I45" s="176" t="s">
        <v>622</v>
      </c>
      <c r="J45" s="177" t="s">
        <v>144</v>
      </c>
      <c r="K45" s="178" t="s">
        <v>357</v>
      </c>
      <c r="L45" s="187" t="s">
        <v>146</v>
      </c>
      <c r="M45" s="190">
        <f>3758910.8-99946.83</f>
        <v>3658963.9699999997</v>
      </c>
      <c r="N45" s="179">
        <v>31120</v>
      </c>
      <c r="O45" s="191">
        <v>44189</v>
      </c>
      <c r="P45" s="190">
        <f>3758910.8-99946.83</f>
        <v>3658963.9699999997</v>
      </c>
      <c r="Q45" s="190">
        <f t="shared" si="2"/>
        <v>0</v>
      </c>
      <c r="R45" s="177" t="s">
        <v>600</v>
      </c>
      <c r="S45" s="177" t="s">
        <v>601</v>
      </c>
      <c r="T45" s="190">
        <v>3658963.97</v>
      </c>
      <c r="U45" s="190">
        <f t="shared" si="3"/>
        <v>0</v>
      </c>
      <c r="V45" s="212"/>
    </row>
    <row r="46" spans="1:22" s="189" customFormat="1" ht="105" x14ac:dyDescent="0.3">
      <c r="A46" s="185" t="s">
        <v>379</v>
      </c>
      <c r="B46" s="178" t="s">
        <v>529</v>
      </c>
      <c r="C46" s="215" t="s">
        <v>363</v>
      </c>
      <c r="D46" s="178" t="s">
        <v>621</v>
      </c>
      <c r="E46" s="178" t="s">
        <v>65</v>
      </c>
      <c r="F46" s="177" t="s">
        <v>631</v>
      </c>
      <c r="G46" s="177">
        <v>80101505</v>
      </c>
      <c r="H46" s="177" t="s">
        <v>405</v>
      </c>
      <c r="I46" s="176" t="s">
        <v>503</v>
      </c>
      <c r="J46" s="177" t="s">
        <v>144</v>
      </c>
      <c r="K46" s="177" t="s">
        <v>593</v>
      </c>
      <c r="L46" s="177" t="s">
        <v>406</v>
      </c>
      <c r="M46" s="190">
        <v>4218690</v>
      </c>
      <c r="N46" s="179">
        <v>28220</v>
      </c>
      <c r="O46" s="191">
        <v>44179</v>
      </c>
      <c r="P46" s="190">
        <v>4218690</v>
      </c>
      <c r="Q46" s="190">
        <f t="shared" si="2"/>
        <v>0</v>
      </c>
      <c r="R46" s="177" t="s">
        <v>632</v>
      </c>
      <c r="S46" s="177" t="s">
        <v>633</v>
      </c>
      <c r="T46" s="190">
        <f>3420560+798130</f>
        <v>4218690</v>
      </c>
      <c r="U46" s="190">
        <f t="shared" si="3"/>
        <v>0</v>
      </c>
      <c r="V46" s="212"/>
    </row>
    <row r="47" spans="1:22" s="189" customFormat="1" ht="75" x14ac:dyDescent="0.3">
      <c r="A47" s="185" t="s">
        <v>379</v>
      </c>
      <c r="B47" s="178" t="s">
        <v>529</v>
      </c>
      <c r="C47" s="215" t="s">
        <v>363</v>
      </c>
      <c r="D47" s="178" t="s">
        <v>621</v>
      </c>
      <c r="E47" s="178" t="s">
        <v>65</v>
      </c>
      <c r="F47" s="178" t="s">
        <v>383</v>
      </c>
      <c r="G47" s="177">
        <v>80101505</v>
      </c>
      <c r="H47" s="177" t="s">
        <v>634</v>
      </c>
      <c r="I47" s="176" t="s">
        <v>503</v>
      </c>
      <c r="J47" s="177" t="s">
        <v>144</v>
      </c>
      <c r="K47" s="177" t="s">
        <v>611</v>
      </c>
      <c r="L47" s="187" t="s">
        <v>146</v>
      </c>
      <c r="M47" s="190">
        <v>1561991</v>
      </c>
      <c r="N47" s="178">
        <v>30220</v>
      </c>
      <c r="O47" s="199">
        <v>44187</v>
      </c>
      <c r="P47" s="190">
        <v>1561991</v>
      </c>
      <c r="Q47" s="190">
        <f t="shared" si="2"/>
        <v>0</v>
      </c>
      <c r="R47" s="178" t="s">
        <v>635</v>
      </c>
      <c r="S47" s="177" t="s">
        <v>636</v>
      </c>
      <c r="T47" s="190">
        <v>1561991</v>
      </c>
      <c r="U47" s="190">
        <f t="shared" si="3"/>
        <v>0</v>
      </c>
      <c r="V47" s="212"/>
    </row>
    <row r="48" spans="1:22" s="189" customFormat="1" ht="30" x14ac:dyDescent="0.3">
      <c r="A48" s="185" t="s">
        <v>637</v>
      </c>
      <c r="B48" s="178" t="s">
        <v>529</v>
      </c>
      <c r="C48" s="215" t="s">
        <v>363</v>
      </c>
      <c r="D48" s="178" t="s">
        <v>638</v>
      </c>
      <c r="E48" s="178" t="s">
        <v>65</v>
      </c>
      <c r="F48" s="178" t="s">
        <v>142</v>
      </c>
      <c r="G48" s="177">
        <v>80131802</v>
      </c>
      <c r="H48" s="177" t="s">
        <v>639</v>
      </c>
      <c r="I48" s="176" t="s">
        <v>503</v>
      </c>
      <c r="J48" s="177" t="s">
        <v>144</v>
      </c>
      <c r="K48" s="177" t="s">
        <v>85</v>
      </c>
      <c r="L48" s="187" t="s">
        <v>146</v>
      </c>
      <c r="M48" s="190">
        <f>3700000-5</f>
        <v>3699995</v>
      </c>
      <c r="N48" s="179">
        <v>28020</v>
      </c>
      <c r="O48" s="191">
        <v>44176</v>
      </c>
      <c r="P48" s="190">
        <f>3700000-5</f>
        <v>3699995</v>
      </c>
      <c r="Q48" s="190">
        <f t="shared" si="2"/>
        <v>0</v>
      </c>
      <c r="R48" s="177" t="s">
        <v>640</v>
      </c>
      <c r="S48" s="177" t="s">
        <v>641</v>
      </c>
      <c r="T48" s="190">
        <f>2112395+1587600</f>
        <v>3699995</v>
      </c>
      <c r="U48" s="190">
        <f t="shared" si="3"/>
        <v>0</v>
      </c>
      <c r="V48" s="212"/>
    </row>
    <row r="49" spans="1:22" s="189" customFormat="1" ht="42" customHeight="1" x14ac:dyDescent="0.3">
      <c r="A49" s="185" t="s">
        <v>409</v>
      </c>
      <c r="B49" s="185" t="s">
        <v>520</v>
      </c>
      <c r="C49" s="215" t="s">
        <v>363</v>
      </c>
      <c r="D49" s="178" t="s">
        <v>621</v>
      </c>
      <c r="E49" s="178" t="s">
        <v>65</v>
      </c>
      <c r="F49" s="177" t="s">
        <v>261</v>
      </c>
      <c r="G49" s="177">
        <v>81112100</v>
      </c>
      <c r="H49" s="177" t="s">
        <v>411</v>
      </c>
      <c r="I49" s="176" t="s">
        <v>503</v>
      </c>
      <c r="J49" s="177" t="s">
        <v>144</v>
      </c>
      <c r="K49" s="178" t="s">
        <v>85</v>
      </c>
      <c r="L49" s="177" t="s">
        <v>286</v>
      </c>
      <c r="M49" s="190">
        <v>418105</v>
      </c>
      <c r="N49" s="187" t="s">
        <v>642</v>
      </c>
      <c r="O49" s="201" t="s">
        <v>643</v>
      </c>
      <c r="P49" s="190">
        <v>418105</v>
      </c>
      <c r="Q49" s="190">
        <f t="shared" si="2"/>
        <v>0</v>
      </c>
      <c r="R49" s="177" t="s">
        <v>644</v>
      </c>
      <c r="S49" s="177" t="s">
        <v>606</v>
      </c>
      <c r="T49" s="190">
        <v>418105</v>
      </c>
      <c r="U49" s="190">
        <f t="shared" si="3"/>
        <v>0</v>
      </c>
      <c r="V49" s="212"/>
    </row>
    <row r="50" spans="1:22" s="189" customFormat="1" ht="60" x14ac:dyDescent="0.3">
      <c r="A50" s="206" t="s">
        <v>309</v>
      </c>
      <c r="B50" s="178" t="s">
        <v>529</v>
      </c>
      <c r="C50" s="215" t="s">
        <v>363</v>
      </c>
      <c r="D50" s="179" t="s">
        <v>645</v>
      </c>
      <c r="E50" s="179" t="s">
        <v>65</v>
      </c>
      <c r="F50" s="179" t="s">
        <v>142</v>
      </c>
      <c r="G50" s="177" t="s">
        <v>646</v>
      </c>
      <c r="H50" s="177" t="s">
        <v>647</v>
      </c>
      <c r="I50" s="208" t="s">
        <v>503</v>
      </c>
      <c r="J50" s="177" t="s">
        <v>144</v>
      </c>
      <c r="K50" s="187" t="s">
        <v>648</v>
      </c>
      <c r="L50" s="187" t="s">
        <v>146</v>
      </c>
      <c r="M50" s="190">
        <v>5460000</v>
      </c>
      <c r="N50" s="179">
        <v>29920</v>
      </c>
      <c r="O50" s="192">
        <v>44186</v>
      </c>
      <c r="P50" s="205">
        <v>5460000</v>
      </c>
      <c r="Q50" s="190">
        <f t="shared" si="2"/>
        <v>0</v>
      </c>
      <c r="R50" s="187" t="s">
        <v>649</v>
      </c>
      <c r="S50" s="187" t="s">
        <v>650</v>
      </c>
      <c r="T50" s="190">
        <v>5460000</v>
      </c>
      <c r="U50" s="190">
        <f t="shared" si="3"/>
        <v>0</v>
      </c>
      <c r="V50" s="212"/>
    </row>
    <row r="51" spans="1:22" s="189" customFormat="1" ht="60" x14ac:dyDescent="0.3">
      <c r="A51" s="206" t="s">
        <v>309</v>
      </c>
      <c r="B51" s="178" t="s">
        <v>529</v>
      </c>
      <c r="C51" s="215" t="s">
        <v>363</v>
      </c>
      <c r="D51" s="179" t="s">
        <v>645</v>
      </c>
      <c r="E51" s="179" t="s">
        <v>65</v>
      </c>
      <c r="F51" s="179" t="s">
        <v>142</v>
      </c>
      <c r="G51" s="177" t="s">
        <v>646</v>
      </c>
      <c r="H51" s="177" t="s">
        <v>647</v>
      </c>
      <c r="I51" s="208" t="s">
        <v>622</v>
      </c>
      <c r="J51" s="177" t="s">
        <v>144</v>
      </c>
      <c r="K51" s="187" t="s">
        <v>648</v>
      </c>
      <c r="L51" s="187" t="s">
        <v>146</v>
      </c>
      <c r="M51" s="190">
        <v>18381650</v>
      </c>
      <c r="N51" s="179">
        <v>29920</v>
      </c>
      <c r="O51" s="192">
        <v>44186</v>
      </c>
      <c r="P51" s="205">
        <v>18381650</v>
      </c>
      <c r="Q51" s="190">
        <f t="shared" si="2"/>
        <v>0</v>
      </c>
      <c r="R51" s="187" t="s">
        <v>649</v>
      </c>
      <c r="S51" s="187" t="s">
        <v>650</v>
      </c>
      <c r="T51" s="190">
        <v>18381650</v>
      </c>
      <c r="U51" s="190">
        <f t="shared" si="3"/>
        <v>0</v>
      </c>
      <c r="V51" s="212"/>
    </row>
    <row r="52" spans="1:22" s="189" customFormat="1" ht="75" x14ac:dyDescent="0.3">
      <c r="A52" s="185" t="s">
        <v>351</v>
      </c>
      <c r="B52" s="187" t="s">
        <v>514</v>
      </c>
      <c r="C52" s="215" t="s">
        <v>363</v>
      </c>
      <c r="D52" s="178" t="s">
        <v>651</v>
      </c>
      <c r="E52" s="178" t="s">
        <v>65</v>
      </c>
      <c r="F52" s="178" t="s">
        <v>652</v>
      </c>
      <c r="G52" s="177" t="s">
        <v>653</v>
      </c>
      <c r="H52" s="177" t="s">
        <v>654</v>
      </c>
      <c r="I52" s="176" t="s">
        <v>503</v>
      </c>
      <c r="J52" s="177" t="s">
        <v>247</v>
      </c>
      <c r="K52" s="178" t="s">
        <v>655</v>
      </c>
      <c r="L52" s="177" t="s">
        <v>247</v>
      </c>
      <c r="M52" s="190">
        <v>11414090.27</v>
      </c>
      <c r="N52" s="179">
        <v>30820</v>
      </c>
      <c r="O52" s="191">
        <v>44188</v>
      </c>
      <c r="P52" s="205">
        <v>11414090.27</v>
      </c>
      <c r="Q52" s="190">
        <f t="shared" si="2"/>
        <v>0</v>
      </c>
      <c r="R52" s="177" t="s">
        <v>656</v>
      </c>
      <c r="S52" s="177" t="s">
        <v>657</v>
      </c>
      <c r="T52" s="190">
        <f>668346.27+10745744</f>
        <v>11414090.27</v>
      </c>
      <c r="U52" s="190">
        <f t="shared" si="3"/>
        <v>0</v>
      </c>
      <c r="V52" s="214" t="s">
        <v>658</v>
      </c>
    </row>
    <row r="53" spans="1:22" s="189" customFormat="1" ht="42" customHeight="1" x14ac:dyDescent="0.3">
      <c r="A53" s="185" t="s">
        <v>416</v>
      </c>
      <c r="B53" s="178" t="s">
        <v>529</v>
      </c>
      <c r="C53" s="215" t="s">
        <v>363</v>
      </c>
      <c r="D53" s="178" t="s">
        <v>621</v>
      </c>
      <c r="E53" s="178" t="s">
        <v>65</v>
      </c>
      <c r="F53" s="178" t="s">
        <v>142</v>
      </c>
      <c r="G53" s="177">
        <v>92101501</v>
      </c>
      <c r="H53" s="177" t="s">
        <v>417</v>
      </c>
      <c r="I53" s="176" t="s">
        <v>622</v>
      </c>
      <c r="J53" s="177" t="s">
        <v>144</v>
      </c>
      <c r="K53" s="178" t="s">
        <v>85</v>
      </c>
      <c r="L53" s="187" t="s">
        <v>146</v>
      </c>
      <c r="M53" s="190">
        <v>9021001</v>
      </c>
      <c r="N53" s="179">
        <v>10220</v>
      </c>
      <c r="O53" s="191" t="s">
        <v>659</v>
      </c>
      <c r="P53" s="205">
        <v>9021001</v>
      </c>
      <c r="Q53" s="190">
        <f t="shared" si="2"/>
        <v>0</v>
      </c>
      <c r="R53" s="177" t="s">
        <v>660</v>
      </c>
      <c r="S53" s="177" t="s">
        <v>661</v>
      </c>
      <c r="T53" s="190">
        <v>9021001</v>
      </c>
      <c r="U53" s="190">
        <f t="shared" si="3"/>
        <v>0</v>
      </c>
      <c r="V53" s="212"/>
    </row>
    <row r="54" spans="1:22" s="189" customFormat="1" ht="75" x14ac:dyDescent="0.3">
      <c r="A54" s="185" t="s">
        <v>326</v>
      </c>
      <c r="B54" s="185" t="s">
        <v>499</v>
      </c>
      <c r="C54" s="215" t="s">
        <v>363</v>
      </c>
      <c r="D54" s="178" t="s">
        <v>662</v>
      </c>
      <c r="E54" s="178" t="s">
        <v>65</v>
      </c>
      <c r="F54" s="178" t="s">
        <v>231</v>
      </c>
      <c r="G54" s="177">
        <v>53102710</v>
      </c>
      <c r="H54" s="177" t="s">
        <v>663</v>
      </c>
      <c r="I54" s="176" t="s">
        <v>503</v>
      </c>
      <c r="J54" s="177" t="s">
        <v>144</v>
      </c>
      <c r="K54" s="178" t="s">
        <v>155</v>
      </c>
      <c r="L54" s="177" t="s">
        <v>233</v>
      </c>
      <c r="M54" s="190">
        <v>17512720</v>
      </c>
      <c r="N54" s="187" t="s">
        <v>664</v>
      </c>
      <c r="O54" s="201" t="s">
        <v>665</v>
      </c>
      <c r="P54" s="205">
        <v>17512720</v>
      </c>
      <c r="Q54" s="190">
        <f t="shared" si="2"/>
        <v>0</v>
      </c>
      <c r="R54" s="187" t="s">
        <v>666</v>
      </c>
      <c r="S54" s="187" t="s">
        <v>667</v>
      </c>
      <c r="T54" s="190">
        <v>17512720</v>
      </c>
      <c r="U54" s="190">
        <f t="shared" si="3"/>
        <v>0</v>
      </c>
      <c r="V54" s="212"/>
    </row>
    <row r="55" spans="1:22" s="189" customFormat="1" ht="35.25" customHeight="1" x14ac:dyDescent="0.3">
      <c r="A55" s="206" t="s">
        <v>314</v>
      </c>
      <c r="B55" s="178" t="s">
        <v>529</v>
      </c>
      <c r="C55" s="215" t="s">
        <v>363</v>
      </c>
      <c r="D55" s="179" t="s">
        <v>668</v>
      </c>
      <c r="E55" s="179" t="s">
        <v>65</v>
      </c>
      <c r="F55" s="179" t="s">
        <v>142</v>
      </c>
      <c r="G55" s="177">
        <v>50201713</v>
      </c>
      <c r="H55" s="177" t="s">
        <v>316</v>
      </c>
      <c r="I55" s="207" t="s">
        <v>622</v>
      </c>
      <c r="J55" s="177" t="s">
        <v>144</v>
      </c>
      <c r="K55" s="179" t="s">
        <v>155</v>
      </c>
      <c r="L55" s="187" t="s">
        <v>146</v>
      </c>
      <c r="M55" s="190">
        <f>84085-751.57</f>
        <v>83333.429999999993</v>
      </c>
      <c r="N55" s="179">
        <v>11420</v>
      </c>
      <c r="O55" s="192">
        <v>43950</v>
      </c>
      <c r="P55" s="190">
        <f>84085-751.57</f>
        <v>83333.429999999993</v>
      </c>
      <c r="Q55" s="190">
        <f t="shared" si="2"/>
        <v>0</v>
      </c>
      <c r="R55" s="187" t="s">
        <v>669</v>
      </c>
      <c r="S55" s="187" t="s">
        <v>434</v>
      </c>
      <c r="T55" s="190">
        <f>47292.71+36040.72</f>
        <v>83333.429999999993</v>
      </c>
      <c r="U55" s="190">
        <f t="shared" si="3"/>
        <v>0</v>
      </c>
      <c r="V55" s="212"/>
    </row>
    <row r="56" spans="1:22" s="189" customFormat="1" ht="41.25" customHeight="1" x14ac:dyDescent="0.3">
      <c r="A56" s="185" t="s">
        <v>319</v>
      </c>
      <c r="B56" s="178" t="s">
        <v>529</v>
      </c>
      <c r="C56" s="215" t="s">
        <v>363</v>
      </c>
      <c r="D56" s="178" t="s">
        <v>662</v>
      </c>
      <c r="E56" s="178" t="s">
        <v>65</v>
      </c>
      <c r="F56" s="178" t="s">
        <v>142</v>
      </c>
      <c r="G56" s="177">
        <v>50161814</v>
      </c>
      <c r="H56" s="177" t="s">
        <v>324</v>
      </c>
      <c r="I56" s="176" t="s">
        <v>622</v>
      </c>
      <c r="J56" s="177" t="s">
        <v>144</v>
      </c>
      <c r="K56" s="178" t="s">
        <v>155</v>
      </c>
      <c r="L56" s="187" t="s">
        <v>146</v>
      </c>
      <c r="M56" s="190">
        <v>109464.9</v>
      </c>
      <c r="N56" s="179">
        <v>11420</v>
      </c>
      <c r="O56" s="192">
        <v>43950</v>
      </c>
      <c r="P56" s="205">
        <f>57178.85+52286.05</f>
        <v>109464.9</v>
      </c>
      <c r="Q56" s="190">
        <f t="shared" si="2"/>
        <v>0</v>
      </c>
      <c r="R56" s="187" t="s">
        <v>669</v>
      </c>
      <c r="S56" s="187" t="s">
        <v>434</v>
      </c>
      <c r="T56" s="190">
        <v>109464.9</v>
      </c>
      <c r="U56" s="190">
        <f t="shared" si="3"/>
        <v>0</v>
      </c>
      <c r="V56" s="212"/>
    </row>
    <row r="57" spans="1:22" s="189" customFormat="1" ht="41.25" customHeight="1" x14ac:dyDescent="0.3">
      <c r="A57" s="185" t="s">
        <v>319</v>
      </c>
      <c r="B57" s="178" t="s">
        <v>529</v>
      </c>
      <c r="C57" s="215" t="s">
        <v>363</v>
      </c>
      <c r="D57" s="178" t="s">
        <v>662</v>
      </c>
      <c r="E57" s="178" t="s">
        <v>65</v>
      </c>
      <c r="F57" s="178" t="s">
        <v>142</v>
      </c>
      <c r="G57" s="177">
        <v>50201706</v>
      </c>
      <c r="H57" s="177" t="s">
        <v>670</v>
      </c>
      <c r="I57" s="176" t="s">
        <v>622</v>
      </c>
      <c r="J57" s="177" t="s">
        <v>144</v>
      </c>
      <c r="K57" s="178" t="s">
        <v>155</v>
      </c>
      <c r="L57" s="187" t="s">
        <v>146</v>
      </c>
      <c r="M57" s="190">
        <f>1025575.95-440.05</f>
        <v>1025135.8999999999</v>
      </c>
      <c r="N57" s="179">
        <v>11420</v>
      </c>
      <c r="O57" s="192">
        <v>43950</v>
      </c>
      <c r="P57" s="190">
        <f>1025575.95-440.05</f>
        <v>1025135.8999999999</v>
      </c>
      <c r="Q57" s="190">
        <f t="shared" si="2"/>
        <v>0</v>
      </c>
      <c r="R57" s="187" t="s">
        <v>669</v>
      </c>
      <c r="S57" s="187" t="s">
        <v>434</v>
      </c>
      <c r="T57" s="190">
        <f>533680.8+491455.1</f>
        <v>1025135.9</v>
      </c>
      <c r="U57" s="190">
        <f t="shared" si="3"/>
        <v>0</v>
      </c>
      <c r="V57" s="212"/>
    </row>
    <row r="58" spans="1:22" s="189" customFormat="1" ht="41.25" customHeight="1" x14ac:dyDescent="0.3">
      <c r="A58" s="185" t="s">
        <v>328</v>
      </c>
      <c r="B58" s="178" t="s">
        <v>529</v>
      </c>
      <c r="C58" s="215" t="s">
        <v>363</v>
      </c>
      <c r="D58" s="178" t="s">
        <v>671</v>
      </c>
      <c r="E58" s="178" t="s">
        <v>65</v>
      </c>
      <c r="F58" s="178" t="s">
        <v>142</v>
      </c>
      <c r="G58" s="177" t="s">
        <v>672</v>
      </c>
      <c r="H58" s="177" t="s">
        <v>335</v>
      </c>
      <c r="I58" s="176" t="s">
        <v>503</v>
      </c>
      <c r="J58" s="177" t="s">
        <v>144</v>
      </c>
      <c r="K58" s="178" t="s">
        <v>155</v>
      </c>
      <c r="L58" s="187" t="s">
        <v>146</v>
      </c>
      <c r="M58" s="190">
        <f>941076-259345.8</f>
        <v>681730.2</v>
      </c>
      <c r="N58" s="179">
        <v>11420</v>
      </c>
      <c r="O58" s="192">
        <v>43950</v>
      </c>
      <c r="P58" s="190">
        <f>941076-259345.8</f>
        <v>681730.2</v>
      </c>
      <c r="Q58" s="190">
        <f t="shared" si="2"/>
        <v>0</v>
      </c>
      <c r="R58" s="187" t="s">
        <v>669</v>
      </c>
      <c r="S58" s="187" t="s">
        <v>434</v>
      </c>
      <c r="T58" s="190">
        <f>65148+616582.2</f>
        <v>681730.2</v>
      </c>
      <c r="U58" s="190">
        <f t="shared" si="3"/>
        <v>0</v>
      </c>
      <c r="V58" s="212"/>
    </row>
    <row r="59" spans="1:22" s="189" customFormat="1" ht="41.25" customHeight="1" x14ac:dyDescent="0.3">
      <c r="A59" s="185" t="s">
        <v>340</v>
      </c>
      <c r="B59" s="178" t="s">
        <v>529</v>
      </c>
      <c r="C59" s="215" t="s">
        <v>363</v>
      </c>
      <c r="D59" s="178" t="s">
        <v>671</v>
      </c>
      <c r="E59" s="178" t="s">
        <v>65</v>
      </c>
      <c r="F59" s="178" t="s">
        <v>142</v>
      </c>
      <c r="G59" s="177">
        <v>12352104</v>
      </c>
      <c r="H59" s="177" t="s">
        <v>342</v>
      </c>
      <c r="I59" s="176" t="s">
        <v>503</v>
      </c>
      <c r="J59" s="177" t="s">
        <v>144</v>
      </c>
      <c r="K59" s="178" t="s">
        <v>155</v>
      </c>
      <c r="L59" s="187" t="s">
        <v>146</v>
      </c>
      <c r="M59" s="190">
        <f>9166+5260.48</f>
        <v>14426.48</v>
      </c>
      <c r="N59" s="179">
        <v>11420</v>
      </c>
      <c r="O59" s="192">
        <v>43950</v>
      </c>
      <c r="P59" s="205">
        <v>14426.48</v>
      </c>
      <c r="Q59" s="190">
        <f t="shared" si="2"/>
        <v>0</v>
      </c>
      <c r="R59" s="187" t="s">
        <v>669</v>
      </c>
      <c r="S59" s="187" t="s">
        <v>434</v>
      </c>
      <c r="T59" s="190">
        <v>14426.48</v>
      </c>
      <c r="U59" s="190">
        <f t="shared" si="3"/>
        <v>0</v>
      </c>
      <c r="V59" s="212"/>
    </row>
    <row r="60" spans="1:22" s="189" customFormat="1" ht="41.25" customHeight="1" x14ac:dyDescent="0.3">
      <c r="A60" s="185" t="s">
        <v>340</v>
      </c>
      <c r="B60" s="178" t="s">
        <v>529</v>
      </c>
      <c r="C60" s="215" t="s">
        <v>363</v>
      </c>
      <c r="D60" s="178" t="s">
        <v>671</v>
      </c>
      <c r="E60" s="178" t="s">
        <v>65</v>
      </c>
      <c r="F60" s="178" t="s">
        <v>142</v>
      </c>
      <c r="G60" s="177">
        <v>47131700</v>
      </c>
      <c r="H60" s="177" t="s">
        <v>343</v>
      </c>
      <c r="I60" s="176" t="s">
        <v>503</v>
      </c>
      <c r="J60" s="177" t="s">
        <v>144</v>
      </c>
      <c r="K60" s="178" t="s">
        <v>155</v>
      </c>
      <c r="L60" s="187" t="s">
        <v>146</v>
      </c>
      <c r="M60" s="190">
        <f>271936-5260.48</f>
        <v>266675.52</v>
      </c>
      <c r="N60" s="179">
        <v>11420</v>
      </c>
      <c r="O60" s="192">
        <v>43950</v>
      </c>
      <c r="P60" s="205">
        <v>266675.52</v>
      </c>
      <c r="Q60" s="190">
        <f t="shared" si="2"/>
        <v>0</v>
      </c>
      <c r="R60" s="187" t="s">
        <v>669</v>
      </c>
      <c r="S60" s="187" t="s">
        <v>434</v>
      </c>
      <c r="T60" s="190">
        <f>5919+260756.52</f>
        <v>266675.52</v>
      </c>
      <c r="U60" s="190">
        <f t="shared" si="3"/>
        <v>0</v>
      </c>
      <c r="V60" s="212"/>
    </row>
    <row r="61" spans="1:22" s="189" customFormat="1" ht="41.25" customHeight="1" x14ac:dyDescent="0.3">
      <c r="A61" s="185" t="s">
        <v>340</v>
      </c>
      <c r="B61" s="178" t="s">
        <v>529</v>
      </c>
      <c r="C61" s="215" t="s">
        <v>363</v>
      </c>
      <c r="D61" s="178" t="s">
        <v>671</v>
      </c>
      <c r="E61" s="178" t="s">
        <v>65</v>
      </c>
      <c r="F61" s="178" t="s">
        <v>142</v>
      </c>
      <c r="G61" s="177">
        <v>47131800</v>
      </c>
      <c r="H61" s="177" t="s">
        <v>344</v>
      </c>
      <c r="I61" s="176" t="s">
        <v>503</v>
      </c>
      <c r="J61" s="177" t="s">
        <v>144</v>
      </c>
      <c r="K61" s="178" t="s">
        <v>155</v>
      </c>
      <c r="L61" s="187" t="s">
        <v>146</v>
      </c>
      <c r="M61" s="190">
        <v>892419</v>
      </c>
      <c r="N61" s="179">
        <v>11420</v>
      </c>
      <c r="O61" s="192">
        <v>43950</v>
      </c>
      <c r="P61" s="205">
        <v>892419</v>
      </c>
      <c r="Q61" s="190">
        <f t="shared" si="2"/>
        <v>0</v>
      </c>
      <c r="R61" s="187" t="s">
        <v>669</v>
      </c>
      <c r="S61" s="187" t="s">
        <v>434</v>
      </c>
      <c r="T61" s="190">
        <f>180525.77+711893.23</f>
        <v>892419</v>
      </c>
      <c r="U61" s="190">
        <f t="shared" si="3"/>
        <v>0</v>
      </c>
      <c r="V61" s="212"/>
    </row>
    <row r="62" spans="1:22" s="189" customFormat="1" ht="41.25" customHeight="1" x14ac:dyDescent="0.3">
      <c r="A62" s="185" t="s">
        <v>345</v>
      </c>
      <c r="B62" s="178" t="s">
        <v>529</v>
      </c>
      <c r="C62" s="215" t="s">
        <v>363</v>
      </c>
      <c r="D62" s="178" t="s">
        <v>671</v>
      </c>
      <c r="E62" s="178" t="s">
        <v>65</v>
      </c>
      <c r="F62" s="178" t="s">
        <v>142</v>
      </c>
      <c r="G62" s="177" t="s">
        <v>673</v>
      </c>
      <c r="H62" s="177" t="s">
        <v>347</v>
      </c>
      <c r="I62" s="176" t="s">
        <v>503</v>
      </c>
      <c r="J62" s="177" t="s">
        <v>144</v>
      </c>
      <c r="K62" s="178" t="s">
        <v>155</v>
      </c>
      <c r="L62" s="187" t="s">
        <v>146</v>
      </c>
      <c r="M62" s="190">
        <v>300048</v>
      </c>
      <c r="N62" s="179">
        <v>11420</v>
      </c>
      <c r="O62" s="192">
        <v>43950</v>
      </c>
      <c r="P62" s="205">
        <v>300048</v>
      </c>
      <c r="Q62" s="190">
        <f t="shared" si="2"/>
        <v>0</v>
      </c>
      <c r="R62" s="187" t="s">
        <v>669</v>
      </c>
      <c r="S62" s="187" t="s">
        <v>434</v>
      </c>
      <c r="T62" s="190">
        <f>49404.24+250643.76</f>
        <v>300048</v>
      </c>
      <c r="U62" s="190">
        <f t="shared" si="3"/>
        <v>0</v>
      </c>
      <c r="V62" s="212"/>
    </row>
    <row r="63" spans="1:22" s="189" customFormat="1" ht="41.25" customHeight="1" x14ac:dyDescent="0.3">
      <c r="A63" s="185" t="s">
        <v>416</v>
      </c>
      <c r="B63" s="178" t="s">
        <v>529</v>
      </c>
      <c r="C63" s="215" t="s">
        <v>363</v>
      </c>
      <c r="D63" s="178" t="s">
        <v>621</v>
      </c>
      <c r="E63" s="178" t="s">
        <v>65</v>
      </c>
      <c r="F63" s="178" t="s">
        <v>142</v>
      </c>
      <c r="G63" s="177">
        <v>76111501</v>
      </c>
      <c r="H63" s="177" t="s">
        <v>424</v>
      </c>
      <c r="I63" s="176" t="s">
        <v>622</v>
      </c>
      <c r="J63" s="177" t="s">
        <v>144</v>
      </c>
      <c r="K63" s="178" t="s">
        <v>85</v>
      </c>
      <c r="L63" s="187" t="s">
        <v>146</v>
      </c>
      <c r="M63" s="190">
        <f>3156938.4+153648.85</f>
        <v>3310587.25</v>
      </c>
      <c r="N63" s="179">
        <v>11420</v>
      </c>
      <c r="O63" s="192">
        <v>43950</v>
      </c>
      <c r="P63" s="190">
        <f>3156938.4+153648.85</f>
        <v>3310587.25</v>
      </c>
      <c r="Q63" s="190">
        <f t="shared" si="2"/>
        <v>0</v>
      </c>
      <c r="R63" s="187" t="s">
        <v>669</v>
      </c>
      <c r="S63" s="187" t="s">
        <v>434</v>
      </c>
      <c r="T63" s="190">
        <f>3310586.97+0.28</f>
        <v>3310587.25</v>
      </c>
      <c r="U63" s="190">
        <f t="shared" si="3"/>
        <v>0</v>
      </c>
      <c r="V63" s="212"/>
    </row>
    <row r="64" spans="1:22" s="189" customFormat="1" ht="46.5" customHeight="1" x14ac:dyDescent="0.3">
      <c r="A64" s="182" t="s">
        <v>416</v>
      </c>
      <c r="B64" s="178" t="s">
        <v>529</v>
      </c>
      <c r="C64" s="215" t="s">
        <v>363</v>
      </c>
      <c r="D64" s="178" t="s">
        <v>621</v>
      </c>
      <c r="E64" s="178" t="s">
        <v>65</v>
      </c>
      <c r="F64" s="178" t="s">
        <v>142</v>
      </c>
      <c r="G64" s="177">
        <v>47121600</v>
      </c>
      <c r="H64" s="177" t="s">
        <v>431</v>
      </c>
      <c r="I64" s="176" t="s">
        <v>622</v>
      </c>
      <c r="J64" s="177" t="s">
        <v>144</v>
      </c>
      <c r="K64" s="178" t="s">
        <v>85</v>
      </c>
      <c r="L64" s="187" t="s">
        <v>146</v>
      </c>
      <c r="M64" s="190">
        <f>234728+0.28</f>
        <v>234728.28</v>
      </c>
      <c r="N64" s="179">
        <v>11420</v>
      </c>
      <c r="O64" s="192">
        <v>43950</v>
      </c>
      <c r="P64" s="190">
        <f>234728+0.28</f>
        <v>234728.28</v>
      </c>
      <c r="Q64" s="190">
        <f t="shared" si="2"/>
        <v>0</v>
      </c>
      <c r="R64" s="187" t="s">
        <v>669</v>
      </c>
      <c r="S64" s="187" t="s">
        <v>434</v>
      </c>
      <c r="T64" s="190">
        <v>234728.28</v>
      </c>
      <c r="U64" s="190">
        <f t="shared" si="3"/>
        <v>0</v>
      </c>
      <c r="V64" s="212"/>
    </row>
    <row r="65" spans="1:22" s="189" customFormat="1" ht="39.75" customHeight="1" x14ac:dyDescent="0.3">
      <c r="A65" s="185" t="s">
        <v>457</v>
      </c>
      <c r="B65" s="178" t="s">
        <v>529</v>
      </c>
      <c r="C65" s="215" t="s">
        <v>363</v>
      </c>
      <c r="D65" s="178" t="s">
        <v>625</v>
      </c>
      <c r="E65" s="178" t="s">
        <v>65</v>
      </c>
      <c r="F65" s="178" t="s">
        <v>142</v>
      </c>
      <c r="G65" s="177">
        <v>72102103</v>
      </c>
      <c r="H65" s="177" t="s">
        <v>460</v>
      </c>
      <c r="I65" s="176" t="s">
        <v>622</v>
      </c>
      <c r="J65" s="178" t="s">
        <v>144</v>
      </c>
      <c r="K65" s="178" t="s">
        <v>85</v>
      </c>
      <c r="L65" s="187" t="s">
        <v>146</v>
      </c>
      <c r="M65" s="190">
        <f>0.23-0.23</f>
        <v>0</v>
      </c>
      <c r="N65" s="179">
        <v>11420</v>
      </c>
      <c r="O65" s="192">
        <v>43950</v>
      </c>
      <c r="P65" s="190">
        <f>0.23-0.23</f>
        <v>0</v>
      </c>
      <c r="Q65" s="190">
        <f t="shared" si="2"/>
        <v>0</v>
      </c>
      <c r="R65" s="187" t="s">
        <v>669</v>
      </c>
      <c r="S65" s="187" t="s">
        <v>434</v>
      </c>
      <c r="T65" s="190"/>
      <c r="U65" s="190">
        <f t="shared" si="3"/>
        <v>0</v>
      </c>
      <c r="V65" s="212"/>
    </row>
    <row r="66" spans="1:22" s="189" customFormat="1" ht="44.25" customHeight="1" x14ac:dyDescent="0.3">
      <c r="A66" s="185" t="s">
        <v>328</v>
      </c>
      <c r="B66" s="178" t="s">
        <v>529</v>
      </c>
      <c r="C66" s="215" t="s">
        <v>363</v>
      </c>
      <c r="D66" s="178" t="s">
        <v>671</v>
      </c>
      <c r="E66" s="178" t="s">
        <v>65</v>
      </c>
      <c r="F66" s="178" t="s">
        <v>142</v>
      </c>
      <c r="G66" s="177" t="s">
        <v>672</v>
      </c>
      <c r="H66" s="177" t="s">
        <v>335</v>
      </c>
      <c r="I66" s="176" t="s">
        <v>503</v>
      </c>
      <c r="J66" s="177" t="s">
        <v>144</v>
      </c>
      <c r="K66" s="178" t="s">
        <v>155</v>
      </c>
      <c r="L66" s="187" t="s">
        <v>146</v>
      </c>
      <c r="M66" s="190">
        <f>157251.64-157251.64</f>
        <v>0</v>
      </c>
      <c r="N66" s="187">
        <v>20020</v>
      </c>
      <c r="O66" s="201" t="s">
        <v>674</v>
      </c>
      <c r="P66" s="190">
        <f>157251.64-157251.64</f>
        <v>0</v>
      </c>
      <c r="Q66" s="190">
        <f t="shared" si="2"/>
        <v>0</v>
      </c>
      <c r="R66" s="187" t="s">
        <v>669</v>
      </c>
      <c r="S66" s="187" t="s">
        <v>434</v>
      </c>
      <c r="T66" s="190"/>
      <c r="U66" s="190">
        <f t="shared" si="3"/>
        <v>0</v>
      </c>
      <c r="V66" s="212"/>
    </row>
    <row r="67" spans="1:22" s="189" customFormat="1" ht="30" x14ac:dyDescent="0.3">
      <c r="A67" s="185" t="s">
        <v>340</v>
      </c>
      <c r="B67" s="178" t="s">
        <v>529</v>
      </c>
      <c r="C67" s="215" t="s">
        <v>363</v>
      </c>
      <c r="D67" s="178" t="s">
        <v>671</v>
      </c>
      <c r="E67" s="178" t="s">
        <v>65</v>
      </c>
      <c r="F67" s="178" t="s">
        <v>142</v>
      </c>
      <c r="G67" s="177">
        <v>47131700</v>
      </c>
      <c r="H67" s="177" t="s">
        <v>343</v>
      </c>
      <c r="I67" s="176" t="s">
        <v>503</v>
      </c>
      <c r="J67" s="177" t="s">
        <v>144</v>
      </c>
      <c r="K67" s="178" t="s">
        <v>155</v>
      </c>
      <c r="L67" s="187" t="s">
        <v>146</v>
      </c>
      <c r="M67" s="190">
        <f>149133-149133</f>
        <v>0</v>
      </c>
      <c r="N67" s="187">
        <v>20020</v>
      </c>
      <c r="O67" s="201" t="s">
        <v>674</v>
      </c>
      <c r="P67" s="190">
        <f>149133-149133</f>
        <v>0</v>
      </c>
      <c r="Q67" s="190">
        <f t="shared" si="2"/>
        <v>0</v>
      </c>
      <c r="R67" s="187" t="s">
        <v>669</v>
      </c>
      <c r="S67" s="187" t="s">
        <v>434</v>
      </c>
      <c r="T67" s="190"/>
      <c r="U67" s="190">
        <f t="shared" si="3"/>
        <v>0</v>
      </c>
      <c r="V67" s="212"/>
    </row>
    <row r="68" spans="1:22" s="189" customFormat="1" ht="30" x14ac:dyDescent="0.3">
      <c r="A68" s="185" t="s">
        <v>345</v>
      </c>
      <c r="B68" s="178" t="s">
        <v>529</v>
      </c>
      <c r="C68" s="215" t="s">
        <v>363</v>
      </c>
      <c r="D68" s="178" t="s">
        <v>671</v>
      </c>
      <c r="E68" s="178" t="s">
        <v>65</v>
      </c>
      <c r="F68" s="178" t="s">
        <v>142</v>
      </c>
      <c r="G68" s="177" t="s">
        <v>673</v>
      </c>
      <c r="H68" s="177" t="s">
        <v>347</v>
      </c>
      <c r="I68" s="176" t="s">
        <v>503</v>
      </c>
      <c r="J68" s="177" t="s">
        <v>144</v>
      </c>
      <c r="K68" s="178" t="s">
        <v>155</v>
      </c>
      <c r="L68" s="187" t="s">
        <v>146</v>
      </c>
      <c r="M68" s="190">
        <f>458110-458110</f>
        <v>0</v>
      </c>
      <c r="N68" s="187">
        <v>20020</v>
      </c>
      <c r="O68" s="201" t="s">
        <v>674</v>
      </c>
      <c r="P68" s="190">
        <f>458110-458110</f>
        <v>0</v>
      </c>
      <c r="Q68" s="190">
        <f t="shared" si="2"/>
        <v>0</v>
      </c>
      <c r="R68" s="187" t="s">
        <v>669</v>
      </c>
      <c r="S68" s="187" t="s">
        <v>434</v>
      </c>
      <c r="T68" s="190"/>
      <c r="U68" s="190">
        <f t="shared" si="3"/>
        <v>0</v>
      </c>
      <c r="V68" s="212"/>
    </row>
    <row r="69" spans="1:22" ht="18" customHeight="1" x14ac:dyDescent="0.3">
      <c r="T69" s="213"/>
    </row>
    <row r="70" spans="1:22" s="239" customFormat="1" ht="73.5" customHeight="1" x14ac:dyDescent="0.3">
      <c r="A70" s="3"/>
      <c r="B70" s="3"/>
      <c r="K70" s="240"/>
      <c r="L70" s="240"/>
      <c r="M70" s="240"/>
      <c r="N70" s="240"/>
      <c r="O70" s="240"/>
      <c r="P70" s="240"/>
      <c r="Q70" s="240"/>
      <c r="R70" s="240"/>
      <c r="S70" s="240"/>
      <c r="T70" s="240"/>
      <c r="U70" s="240"/>
    </row>
    <row r="71" spans="1:22" ht="73.5" customHeight="1" x14ac:dyDescent="0.5">
      <c r="H71" s="217"/>
      <c r="J71" s="218"/>
      <c r="P71" s="230"/>
      <c r="T71" s="230"/>
    </row>
    <row r="72" spans="1:22" ht="73.5" customHeight="1" x14ac:dyDescent="0.3">
      <c r="P72" s="213"/>
      <c r="T72" s="213"/>
      <c r="U72" s="213"/>
    </row>
    <row r="73" spans="1:22" ht="73.5" customHeight="1" x14ac:dyDescent="0.3">
      <c r="P73" s="213"/>
    </row>
    <row r="74" spans="1:22" ht="73.5" customHeight="1" x14ac:dyDescent="0.3">
      <c r="P74" s="295"/>
    </row>
  </sheetData>
  <autoFilter ref="A3:V72" xr:uid="{00000000-0009-0000-0000-000001000000}"/>
  <conditionalFormatting sqref="H35">
    <cfRule type="duplicateValues" dxfId="48" priority="15"/>
  </conditionalFormatting>
  <conditionalFormatting sqref="H35">
    <cfRule type="duplicateValues" dxfId="47" priority="16"/>
  </conditionalFormatting>
  <conditionalFormatting sqref="H36">
    <cfRule type="duplicateValues" dxfId="46" priority="13"/>
  </conditionalFormatting>
  <conditionalFormatting sqref="H36">
    <cfRule type="duplicateValues" dxfId="45" priority="14"/>
  </conditionalFormatting>
  <conditionalFormatting sqref="H37">
    <cfRule type="duplicateValues" dxfId="44" priority="11"/>
  </conditionalFormatting>
  <conditionalFormatting sqref="H37">
    <cfRule type="duplicateValues" dxfId="43" priority="12"/>
  </conditionalFormatting>
  <conditionalFormatting sqref="H38">
    <cfRule type="duplicateValues" dxfId="42" priority="9"/>
  </conditionalFormatting>
  <conditionalFormatting sqref="H38">
    <cfRule type="duplicateValues" dxfId="41" priority="10"/>
  </conditionalFormatting>
  <conditionalFormatting sqref="H39">
    <cfRule type="duplicateValues" dxfId="40" priority="7"/>
  </conditionalFormatting>
  <conditionalFormatting sqref="H39">
    <cfRule type="duplicateValues" dxfId="39" priority="8"/>
  </conditionalFormatting>
  <conditionalFormatting sqref="H30">
    <cfRule type="duplicateValues" dxfId="38" priority="5"/>
  </conditionalFormatting>
  <conditionalFormatting sqref="H30">
    <cfRule type="duplicateValues" dxfId="37" priority="6"/>
  </conditionalFormatting>
  <conditionalFormatting sqref="H31">
    <cfRule type="duplicateValues" dxfId="36" priority="3"/>
  </conditionalFormatting>
  <conditionalFormatting sqref="H31">
    <cfRule type="duplicateValues" dxfId="35" priority="4"/>
  </conditionalFormatting>
  <conditionalFormatting sqref="H40:H41">
    <cfRule type="duplicateValues" dxfId="34" priority="1"/>
  </conditionalFormatting>
  <conditionalFormatting sqref="H40:H41">
    <cfRule type="duplicateValues" dxfId="33" priority="2"/>
  </conditionalFormatting>
  <dataValidations count="1">
    <dataValidation type="list" allowBlank="1" showInputMessage="1" showErrorMessage="1" sqref="C34:C41" xr:uid="{00000000-0002-0000-0100-000000000000}">
      <formula1>PROYECTO</formula1>
    </dataValidation>
  </dataValidations>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O45"/>
  <sheetViews>
    <sheetView zoomScale="60" zoomScaleNormal="60" workbookViewId="0">
      <selection activeCell="B8" sqref="B8"/>
    </sheetView>
  </sheetViews>
  <sheetFormatPr baseColWidth="10" defaultColWidth="11.44140625" defaultRowHeight="14.4" x14ac:dyDescent="0.3"/>
  <cols>
    <col min="1" max="1" width="9.5546875" customWidth="1"/>
    <col min="2" max="2" width="55.44140625" customWidth="1"/>
    <col min="7" max="7" width="20" customWidth="1"/>
    <col min="8" max="8" width="7.44140625" style="3" customWidth="1"/>
    <col min="9" max="9" width="10" customWidth="1"/>
    <col min="10" max="10" width="42.44140625" customWidth="1"/>
    <col min="11" max="11" width="9.33203125" customWidth="1"/>
    <col min="12" max="12" width="10" customWidth="1"/>
    <col min="13" max="13" width="9.5546875" customWidth="1"/>
    <col min="14" max="14" width="13" style="3" customWidth="1"/>
    <col min="15" max="15" width="17.33203125" customWidth="1"/>
  </cols>
  <sheetData>
    <row r="1" spans="1:15" ht="65.25" customHeight="1" x14ac:dyDescent="0.3">
      <c r="A1" s="310" t="s">
        <v>675</v>
      </c>
      <c r="B1" s="310"/>
      <c r="C1" s="310"/>
      <c r="D1" s="310"/>
      <c r="E1" s="310"/>
      <c r="F1" s="310"/>
      <c r="G1" s="310"/>
      <c r="H1"/>
      <c r="I1" s="311" t="s">
        <v>213</v>
      </c>
      <c r="J1" s="311"/>
      <c r="K1" s="311"/>
      <c r="L1" s="311"/>
      <c r="M1" s="311"/>
      <c r="N1" s="311"/>
      <c r="O1" s="311"/>
    </row>
    <row r="2" spans="1:15" ht="31.2" x14ac:dyDescent="0.3">
      <c r="A2" s="150" t="s">
        <v>2</v>
      </c>
      <c r="B2" s="129" t="s">
        <v>676</v>
      </c>
      <c r="C2" s="129" t="s">
        <v>677</v>
      </c>
      <c r="D2" s="129" t="s">
        <v>678</v>
      </c>
      <c r="E2" s="129" t="s">
        <v>679</v>
      </c>
      <c r="F2" s="129" t="s">
        <v>680</v>
      </c>
      <c r="G2" s="129" t="s">
        <v>681</v>
      </c>
      <c r="H2"/>
      <c r="I2" s="149" t="s">
        <v>2</v>
      </c>
      <c r="J2" s="53" t="s">
        <v>682</v>
      </c>
      <c r="K2" s="54" t="s">
        <v>677</v>
      </c>
      <c r="L2" s="54" t="s">
        <v>678</v>
      </c>
      <c r="M2" s="54" t="s">
        <v>679</v>
      </c>
      <c r="N2" s="54" t="s">
        <v>680</v>
      </c>
      <c r="O2" s="151" t="s">
        <v>683</v>
      </c>
    </row>
    <row r="3" spans="1:15" s="1" customFormat="1" ht="55.2" x14ac:dyDescent="0.3">
      <c r="A3" s="2" t="s">
        <v>684</v>
      </c>
      <c r="B3" s="130" t="s">
        <v>42</v>
      </c>
      <c r="C3" s="56">
        <v>56</v>
      </c>
      <c r="D3" s="56">
        <v>23</v>
      </c>
      <c r="E3" s="56">
        <v>17</v>
      </c>
      <c r="F3" s="4"/>
      <c r="G3" s="2">
        <f>SUM(C3:F3)</f>
        <v>96</v>
      </c>
      <c r="I3" s="118" t="s">
        <v>685</v>
      </c>
      <c r="J3" s="55" t="s">
        <v>686</v>
      </c>
      <c r="K3" s="57">
        <v>0.5</v>
      </c>
      <c r="L3" s="57">
        <v>0.5</v>
      </c>
      <c r="M3" s="4"/>
      <c r="N3" s="4"/>
      <c r="O3" s="119">
        <v>1</v>
      </c>
    </row>
    <row r="4" spans="1:15" ht="68.25" customHeight="1" x14ac:dyDescent="0.3">
      <c r="A4" s="2" t="s">
        <v>684</v>
      </c>
      <c r="B4" s="130" t="s">
        <v>71</v>
      </c>
      <c r="C4" s="56">
        <v>50</v>
      </c>
      <c r="D4" s="56">
        <v>50</v>
      </c>
      <c r="E4" s="56">
        <v>50</v>
      </c>
      <c r="F4" s="56">
        <v>50</v>
      </c>
      <c r="G4" s="2">
        <f t="shared" ref="G4:G19" si="0">SUM(C4:F4)</f>
        <v>200</v>
      </c>
      <c r="H4"/>
      <c r="I4" s="118" t="s">
        <v>687</v>
      </c>
      <c r="J4" s="120" t="s">
        <v>215</v>
      </c>
      <c r="K4" s="121">
        <v>0.125</v>
      </c>
      <c r="L4" s="121">
        <v>0.125</v>
      </c>
      <c r="M4" s="121">
        <v>0.125</v>
      </c>
      <c r="N4" s="121">
        <v>0.125</v>
      </c>
      <c r="O4" s="122">
        <v>1</v>
      </c>
    </row>
    <row r="5" spans="1:15" ht="44.25" customHeight="1" x14ac:dyDescent="0.3">
      <c r="A5" s="2" t="s">
        <v>684</v>
      </c>
      <c r="B5" s="130" t="s">
        <v>80</v>
      </c>
      <c r="C5" s="56">
        <v>5</v>
      </c>
      <c r="D5" s="56">
        <v>5</v>
      </c>
      <c r="E5" s="56">
        <v>5</v>
      </c>
      <c r="F5" s="56">
        <v>5</v>
      </c>
      <c r="G5" s="2">
        <f t="shared" si="0"/>
        <v>20</v>
      </c>
      <c r="H5"/>
      <c r="I5" s="118" t="s">
        <v>687</v>
      </c>
      <c r="J5" s="120" t="s">
        <v>224</v>
      </c>
      <c r="K5" s="121">
        <v>0.125</v>
      </c>
      <c r="L5" s="121">
        <v>0.125</v>
      </c>
      <c r="M5" s="121">
        <v>0.125</v>
      </c>
      <c r="N5" s="121">
        <v>0.125</v>
      </c>
      <c r="O5" s="122">
        <v>1</v>
      </c>
    </row>
    <row r="6" spans="1:15" ht="75" customHeight="1" x14ac:dyDescent="0.3">
      <c r="A6" s="2" t="s">
        <v>684</v>
      </c>
      <c r="B6" s="130" t="s">
        <v>86</v>
      </c>
      <c r="C6" s="56">
        <v>10</v>
      </c>
      <c r="D6" s="56">
        <v>20</v>
      </c>
      <c r="E6" s="56">
        <v>20</v>
      </c>
      <c r="F6" s="56">
        <v>20</v>
      </c>
      <c r="G6" s="2">
        <f>SUM(C6:F6)</f>
        <v>70</v>
      </c>
      <c r="H6"/>
      <c r="I6" s="118" t="s">
        <v>688</v>
      </c>
      <c r="J6" s="120" t="s">
        <v>234</v>
      </c>
      <c r="K6" s="123">
        <v>100</v>
      </c>
      <c r="L6" s="123">
        <v>100</v>
      </c>
      <c r="M6" s="123">
        <v>100</v>
      </c>
      <c r="N6" s="123">
        <v>100</v>
      </c>
      <c r="O6" s="124">
        <v>400</v>
      </c>
    </row>
    <row r="7" spans="1:15" ht="56.25" customHeight="1" x14ac:dyDescent="0.3">
      <c r="A7" s="2"/>
      <c r="B7" s="130"/>
      <c r="C7" s="147">
        <f t="shared" ref="C7:F7" si="1">SUM(C3:C6)</f>
        <v>121</v>
      </c>
      <c r="D7" s="147">
        <f t="shared" si="1"/>
        <v>98</v>
      </c>
      <c r="E7" s="147">
        <f t="shared" si="1"/>
        <v>92</v>
      </c>
      <c r="F7" s="147">
        <f t="shared" si="1"/>
        <v>75</v>
      </c>
      <c r="G7" s="147">
        <f>SUM(G3:G6)</f>
        <v>386</v>
      </c>
      <c r="H7"/>
      <c r="I7" s="118" t="s">
        <v>688</v>
      </c>
      <c r="J7" s="120" t="s">
        <v>230</v>
      </c>
      <c r="K7" s="125">
        <v>0.25</v>
      </c>
      <c r="L7" s="125">
        <v>0.25</v>
      </c>
      <c r="M7" s="125">
        <v>0.25</v>
      </c>
      <c r="N7" s="125">
        <v>0.25</v>
      </c>
      <c r="O7" s="122">
        <v>1</v>
      </c>
    </row>
    <row r="8" spans="1:15" ht="56.25" customHeight="1" x14ac:dyDescent="0.3">
      <c r="A8" s="2" t="s">
        <v>689</v>
      </c>
      <c r="B8" s="130" t="s">
        <v>141</v>
      </c>
      <c r="C8" s="56">
        <v>600</v>
      </c>
      <c r="D8" s="56">
        <v>600</v>
      </c>
      <c r="E8" s="56">
        <v>600</v>
      </c>
      <c r="F8" s="56">
        <v>600</v>
      </c>
      <c r="G8" s="2">
        <f t="shared" ref="G8:G15" si="2">SUM(C8:F8)</f>
        <v>2400</v>
      </c>
      <c r="H8"/>
      <c r="I8" s="118" t="s">
        <v>690</v>
      </c>
      <c r="J8" s="120" t="s">
        <v>243</v>
      </c>
      <c r="K8" s="125">
        <v>0.25</v>
      </c>
      <c r="L8" s="125">
        <v>0.25</v>
      </c>
      <c r="M8" s="125">
        <v>0.25</v>
      </c>
      <c r="N8" s="125">
        <v>0.25</v>
      </c>
      <c r="O8" s="122">
        <v>1</v>
      </c>
    </row>
    <row r="9" spans="1:15" ht="41.25" customHeight="1" x14ac:dyDescent="0.3">
      <c r="A9" s="2" t="s">
        <v>689</v>
      </c>
      <c r="B9" s="130" t="s">
        <v>116</v>
      </c>
      <c r="C9" s="56">
        <v>50</v>
      </c>
      <c r="D9" s="56">
        <v>50</v>
      </c>
      <c r="E9" s="56">
        <v>50</v>
      </c>
      <c r="F9" s="56">
        <v>50</v>
      </c>
      <c r="G9" s="2">
        <f t="shared" si="2"/>
        <v>200</v>
      </c>
      <c r="H9"/>
      <c r="I9" s="118" t="s">
        <v>690</v>
      </c>
      <c r="J9" s="120" t="s">
        <v>239</v>
      </c>
      <c r="K9" s="125">
        <v>0.25</v>
      </c>
      <c r="L9" s="125">
        <v>0.25</v>
      </c>
      <c r="M9" s="125">
        <v>0.25</v>
      </c>
      <c r="N9" s="125">
        <v>0.25</v>
      </c>
      <c r="O9" s="122">
        <v>1</v>
      </c>
    </row>
    <row r="10" spans="1:15" ht="46.5" customHeight="1" x14ac:dyDescent="0.3">
      <c r="A10" s="2" t="s">
        <v>689</v>
      </c>
      <c r="B10" s="130" t="s">
        <v>122</v>
      </c>
      <c r="C10" s="56">
        <v>400</v>
      </c>
      <c r="D10" s="56">
        <v>400</v>
      </c>
      <c r="E10" s="56">
        <v>400</v>
      </c>
      <c r="F10" s="56">
        <v>400</v>
      </c>
      <c r="G10" s="2">
        <f t="shared" si="2"/>
        <v>1600</v>
      </c>
      <c r="H10"/>
      <c r="I10" s="118" t="s">
        <v>691</v>
      </c>
      <c r="J10" s="120" t="s">
        <v>260</v>
      </c>
      <c r="K10" s="121">
        <v>0.125</v>
      </c>
      <c r="L10" s="121">
        <v>0.125</v>
      </c>
      <c r="M10" s="121">
        <v>0.125</v>
      </c>
      <c r="N10" s="121">
        <v>0.125</v>
      </c>
      <c r="O10" s="122">
        <v>1</v>
      </c>
    </row>
    <row r="11" spans="1:15" ht="57" customHeight="1" x14ac:dyDescent="0.3">
      <c r="A11" s="2" t="s">
        <v>689</v>
      </c>
      <c r="B11" s="130" t="s">
        <v>137</v>
      </c>
      <c r="C11" s="56">
        <v>4</v>
      </c>
      <c r="D11" s="56">
        <v>3</v>
      </c>
      <c r="E11" s="56">
        <v>3</v>
      </c>
      <c r="F11" s="56">
        <v>3</v>
      </c>
      <c r="G11" s="2">
        <f t="shared" si="2"/>
        <v>13</v>
      </c>
      <c r="H11"/>
      <c r="I11" s="118" t="s">
        <v>691</v>
      </c>
      <c r="J11" s="126" t="s">
        <v>284</v>
      </c>
      <c r="K11" s="127">
        <v>0.125</v>
      </c>
      <c r="L11" s="127">
        <v>0.125</v>
      </c>
      <c r="M11" s="127">
        <v>0.125</v>
      </c>
      <c r="N11" s="127">
        <v>0.125</v>
      </c>
      <c r="O11" s="128">
        <v>1</v>
      </c>
    </row>
    <row r="12" spans="1:15" ht="44.25" customHeight="1" x14ac:dyDescent="0.3">
      <c r="A12" s="2" t="s">
        <v>689</v>
      </c>
      <c r="B12" s="130" t="s">
        <v>569</v>
      </c>
      <c r="C12" s="56">
        <v>60</v>
      </c>
      <c r="D12" s="56">
        <v>70</v>
      </c>
      <c r="E12" s="56">
        <v>80</v>
      </c>
      <c r="F12" s="56">
        <v>90</v>
      </c>
      <c r="G12" s="2">
        <f t="shared" si="2"/>
        <v>300</v>
      </c>
      <c r="H12"/>
    </row>
    <row r="13" spans="1:15" ht="51" customHeight="1" x14ac:dyDescent="0.3">
      <c r="A13" s="2" t="s">
        <v>689</v>
      </c>
      <c r="B13" s="130" t="s">
        <v>99</v>
      </c>
      <c r="C13" s="56">
        <v>800</v>
      </c>
      <c r="D13" s="56">
        <v>800</v>
      </c>
      <c r="E13" s="56">
        <v>800</v>
      </c>
      <c r="F13" s="56">
        <v>800</v>
      </c>
      <c r="G13" s="2">
        <f t="shared" si="2"/>
        <v>3200</v>
      </c>
      <c r="H13"/>
      <c r="N13"/>
    </row>
    <row r="14" spans="1:15" ht="56.25" customHeight="1" x14ac:dyDescent="0.3">
      <c r="A14" s="2" t="s">
        <v>689</v>
      </c>
      <c r="B14" s="130" t="s">
        <v>692</v>
      </c>
      <c r="C14" s="56">
        <v>1000</v>
      </c>
      <c r="D14" s="56">
        <v>1000</v>
      </c>
      <c r="E14" s="56">
        <v>1000</v>
      </c>
      <c r="F14" s="56">
        <v>1000</v>
      </c>
      <c r="G14" s="2">
        <f t="shared" si="2"/>
        <v>4000</v>
      </c>
      <c r="H14"/>
      <c r="N14"/>
    </row>
    <row r="15" spans="1:15" ht="56.25" customHeight="1" x14ac:dyDescent="0.3">
      <c r="A15" s="2" t="s">
        <v>689</v>
      </c>
      <c r="B15" s="130" t="s">
        <v>693</v>
      </c>
      <c r="C15" s="56">
        <v>462000</v>
      </c>
      <c r="D15" s="56">
        <v>45000</v>
      </c>
      <c r="E15" s="56">
        <v>50000</v>
      </c>
      <c r="F15" s="56">
        <v>50000</v>
      </c>
      <c r="G15" s="2">
        <f t="shared" si="2"/>
        <v>607000</v>
      </c>
      <c r="H15"/>
      <c r="N15"/>
    </row>
    <row r="16" spans="1:15" ht="51.75" customHeight="1" x14ac:dyDescent="0.3">
      <c r="A16" s="2"/>
      <c r="B16" s="130"/>
      <c r="C16" s="147">
        <f t="shared" ref="C16:F16" si="3">SUM(C8:C15)</f>
        <v>464914</v>
      </c>
      <c r="D16" s="147">
        <f t="shared" si="3"/>
        <v>47923</v>
      </c>
      <c r="E16" s="147">
        <f t="shared" si="3"/>
        <v>52933</v>
      </c>
      <c r="F16" s="147">
        <f t="shared" si="3"/>
        <v>52943</v>
      </c>
      <c r="G16" s="147">
        <f>SUM(G8:G15)</f>
        <v>618713</v>
      </c>
      <c r="H16"/>
      <c r="N16"/>
    </row>
    <row r="17" spans="1:14" ht="54" customHeight="1" x14ac:dyDescent="0.3">
      <c r="A17" s="2" t="s">
        <v>694</v>
      </c>
      <c r="B17" s="130" t="s">
        <v>200</v>
      </c>
      <c r="C17" s="56">
        <v>2</v>
      </c>
      <c r="D17" s="56">
        <v>1</v>
      </c>
      <c r="E17" s="56">
        <v>1</v>
      </c>
      <c r="F17" s="56">
        <v>1</v>
      </c>
      <c r="G17" s="2">
        <f t="shared" si="0"/>
        <v>5</v>
      </c>
      <c r="H17"/>
      <c r="N17"/>
    </row>
    <row r="18" spans="1:14" ht="54" customHeight="1" x14ac:dyDescent="0.3">
      <c r="A18" s="2" t="s">
        <v>694</v>
      </c>
      <c r="B18" s="130" t="s">
        <v>196</v>
      </c>
      <c r="C18" s="56">
        <v>1</v>
      </c>
      <c r="D18" s="56">
        <v>1</v>
      </c>
      <c r="E18" s="56">
        <v>1</v>
      </c>
      <c r="F18" s="56">
        <v>0</v>
      </c>
      <c r="G18" s="2">
        <f t="shared" si="0"/>
        <v>3</v>
      </c>
      <c r="H18"/>
      <c r="N18"/>
    </row>
    <row r="19" spans="1:14" ht="75" customHeight="1" x14ac:dyDescent="0.3">
      <c r="A19" s="2" t="s">
        <v>694</v>
      </c>
      <c r="B19" s="130" t="s">
        <v>695</v>
      </c>
      <c r="C19" s="56">
        <v>10</v>
      </c>
      <c r="D19" s="56">
        <v>10</v>
      </c>
      <c r="E19" s="56">
        <v>10</v>
      </c>
      <c r="F19" s="56">
        <v>10</v>
      </c>
      <c r="G19" s="2">
        <f t="shared" si="0"/>
        <v>40</v>
      </c>
      <c r="H19"/>
      <c r="N19"/>
    </row>
    <row r="20" spans="1:14" ht="26.25" customHeight="1" x14ac:dyDescent="0.3">
      <c r="A20" s="2"/>
      <c r="B20" s="130"/>
      <c r="C20" s="147">
        <f t="shared" ref="C20:F20" si="4">+C19+C18+C17</f>
        <v>13</v>
      </c>
      <c r="D20" s="147">
        <f t="shared" si="4"/>
        <v>12</v>
      </c>
      <c r="E20" s="147">
        <f t="shared" si="4"/>
        <v>12</v>
      </c>
      <c r="F20" s="147">
        <f t="shared" si="4"/>
        <v>11</v>
      </c>
      <c r="G20" s="147">
        <f>+G19+G18+G17</f>
        <v>48</v>
      </c>
      <c r="H20"/>
      <c r="N20"/>
    </row>
    <row r="21" spans="1:14" ht="32.25" customHeight="1" x14ac:dyDescent="0.3">
      <c r="A21" s="131"/>
      <c r="B21" s="132"/>
      <c r="C21" s="148">
        <f t="shared" ref="C21:F21" si="5">+C7+C16+C20</f>
        <v>465048</v>
      </c>
      <c r="D21" s="148">
        <f t="shared" si="5"/>
        <v>48033</v>
      </c>
      <c r="E21" s="148">
        <f t="shared" si="5"/>
        <v>53037</v>
      </c>
      <c r="F21" s="148">
        <f t="shared" si="5"/>
        <v>53029</v>
      </c>
      <c r="G21" s="148">
        <f>+G7+G16+G20</f>
        <v>619147</v>
      </c>
      <c r="H21"/>
      <c r="N21"/>
    </row>
    <row r="22" spans="1:14" x14ac:dyDescent="0.3">
      <c r="H22"/>
      <c r="N22"/>
    </row>
    <row r="23" spans="1:14" x14ac:dyDescent="0.3">
      <c r="A23" s="3"/>
      <c r="G23" s="3"/>
      <c r="H23"/>
      <c r="N23"/>
    </row>
    <row r="24" spans="1:14" x14ac:dyDescent="0.3">
      <c r="A24" s="3"/>
      <c r="G24" s="3"/>
      <c r="H24"/>
      <c r="N24"/>
    </row>
    <row r="30" spans="1:14" ht="44.25" customHeight="1" x14ac:dyDescent="0.3"/>
    <row r="32" spans="1:14" ht="39" customHeight="1" x14ac:dyDescent="0.3"/>
    <row r="34" ht="41.25" customHeight="1" x14ac:dyDescent="0.3"/>
    <row r="35" ht="41.25" customHeight="1" x14ac:dyDescent="0.3"/>
    <row r="36" ht="41.25" customHeight="1" x14ac:dyDescent="0.3"/>
    <row r="37" ht="41.25" customHeight="1" x14ac:dyDescent="0.3"/>
    <row r="38" ht="41.25" customHeight="1" x14ac:dyDescent="0.3"/>
    <row r="39" ht="41.25" customHeight="1" x14ac:dyDescent="0.3"/>
    <row r="40" ht="41.25" customHeight="1" x14ac:dyDescent="0.3"/>
    <row r="41" ht="33.75" customHeight="1" x14ac:dyDescent="0.3"/>
    <row r="44" ht="50.25" customHeight="1" x14ac:dyDescent="0.3"/>
    <row r="45" ht="23.25" customHeight="1" x14ac:dyDescent="0.3"/>
  </sheetData>
  <mergeCells count="2">
    <mergeCell ref="A1:G1"/>
    <mergeCell ref="I1:O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B11"/>
  <sheetViews>
    <sheetView workbookViewId="0">
      <selection activeCell="B6" sqref="B6"/>
    </sheetView>
  </sheetViews>
  <sheetFormatPr baseColWidth="10" defaultColWidth="11.44140625" defaultRowHeight="14.4" x14ac:dyDescent="0.3"/>
  <cols>
    <col min="1" max="1" width="19.33203125" customWidth="1"/>
    <col min="2" max="2" width="30.109375" customWidth="1"/>
    <col min="4" max="4" width="17.109375" customWidth="1"/>
    <col min="6" max="6" width="56.44140625" customWidth="1"/>
  </cols>
  <sheetData>
    <row r="3" spans="1:28" ht="17.399999999999999" x14ac:dyDescent="0.3">
      <c r="A3" s="109" t="s">
        <v>696</v>
      </c>
      <c r="B3" s="110">
        <v>746375399</v>
      </c>
    </row>
    <row r="4" spans="1:28" ht="79.5" customHeight="1" x14ac:dyDescent="0.3">
      <c r="A4" s="112" t="s">
        <v>697</v>
      </c>
      <c r="B4" s="113" t="e">
        <f>+'PLAN DE ADQUISICIONES 2021'!#REF!-B3</f>
        <v>#REF!</v>
      </c>
      <c r="D4" s="111">
        <f>20000000+10000000+2000000+8900000+4500000+2500000+2500000+500000+12170250+5000000+500000+1000000+500000+550000+497351</f>
        <v>71117601</v>
      </c>
      <c r="E4" s="5"/>
      <c r="F4" s="5" t="s">
        <v>698</v>
      </c>
    </row>
    <row r="5" spans="1:28" ht="66.75" customHeight="1" x14ac:dyDescent="0.3">
      <c r="A5" s="7" t="s">
        <v>699</v>
      </c>
      <c r="B5" s="114" t="e">
        <f>+B4-D4</f>
        <v>#REF!</v>
      </c>
    </row>
    <row r="6" spans="1:28" s="5" customFormat="1" ht="64.5" customHeight="1" x14ac:dyDescent="0.3">
      <c r="S6" s="89"/>
      <c r="T6" s="89"/>
      <c r="AB6" s="6"/>
    </row>
    <row r="7" spans="1:28" s="5" customFormat="1" ht="47.25" customHeight="1" x14ac:dyDescent="0.3">
      <c r="S7" s="89"/>
      <c r="T7" s="89"/>
      <c r="AB7" s="6"/>
    </row>
    <row r="8" spans="1:28" s="5" customFormat="1" ht="52.5" customHeight="1" x14ac:dyDescent="0.3">
      <c r="S8" s="89"/>
      <c r="T8" s="89"/>
      <c r="AB8" s="6"/>
    </row>
    <row r="9" spans="1:28" s="5" customFormat="1" ht="57" customHeight="1" x14ac:dyDescent="0.3">
      <c r="S9" s="89"/>
      <c r="T9" s="89"/>
      <c r="AB9" s="6"/>
    </row>
    <row r="10" spans="1:28" s="5" customFormat="1" ht="39.9" customHeight="1" x14ac:dyDescent="0.3">
      <c r="R10" s="89"/>
      <c r="S10" s="89"/>
      <c r="AB10" s="6"/>
    </row>
    <row r="11" spans="1:28" s="5" customFormat="1" ht="39.9" customHeight="1" x14ac:dyDescent="0.3">
      <c r="R11" s="89"/>
      <c r="S11" s="89"/>
      <c r="T11" s="116">
        <f>50000*11</f>
        <v>550000</v>
      </c>
      <c r="U11" s="115" t="s">
        <v>700</v>
      </c>
      <c r="AB11"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4"/>
  <sheetViews>
    <sheetView zoomScale="50" zoomScaleNormal="50" zoomScaleSheetLayoutView="140" workbookViewId="0">
      <pane ySplit="1" topLeftCell="A2" activePane="bottomLeft" state="frozen"/>
      <selection activeCell="F7" sqref="F7"/>
      <selection pane="bottomLeft" activeCell="H8" sqref="H8"/>
    </sheetView>
  </sheetViews>
  <sheetFormatPr baseColWidth="10" defaultColWidth="11.44140625" defaultRowHeight="15" x14ac:dyDescent="0.25"/>
  <cols>
    <col min="1" max="1" width="45.5546875" style="49" customWidth="1"/>
    <col min="2" max="2" width="22.109375" style="9" customWidth="1"/>
    <col min="3" max="3" width="20.6640625" style="9" customWidth="1"/>
    <col min="4" max="4" width="35.6640625" style="9" customWidth="1"/>
    <col min="5" max="5" width="20.88671875" style="50" customWidth="1"/>
    <col min="6" max="6" width="13.88671875" style="51" customWidth="1"/>
    <col min="7" max="7" width="29.6640625" style="51" customWidth="1"/>
    <col min="8" max="8" width="23.5546875" style="50" customWidth="1"/>
    <col min="9" max="9" width="27.5546875" style="50" customWidth="1"/>
    <col min="10" max="10" width="31.33203125" style="48" customWidth="1"/>
    <col min="11" max="12" width="11.44140625" style="48"/>
    <col min="13" max="13" width="20.109375" style="48" bestFit="1" customWidth="1"/>
    <col min="14" max="16384" width="11.44140625" style="48"/>
  </cols>
  <sheetData>
    <row r="1" spans="1:13" s="19" customFormat="1" ht="79.5" customHeight="1" x14ac:dyDescent="0.3">
      <c r="A1" s="15" t="s">
        <v>701</v>
      </c>
      <c r="B1" s="16" t="s">
        <v>702</v>
      </c>
      <c r="C1" s="16" t="s">
        <v>703</v>
      </c>
      <c r="D1" s="16" t="s">
        <v>704</v>
      </c>
      <c r="E1" s="17" t="s">
        <v>705</v>
      </c>
      <c r="F1" s="16" t="s">
        <v>706</v>
      </c>
      <c r="G1" s="16" t="s">
        <v>707</v>
      </c>
      <c r="H1" s="17" t="s">
        <v>708</v>
      </c>
      <c r="I1" s="17" t="s">
        <v>709</v>
      </c>
      <c r="J1" s="18" t="s">
        <v>710</v>
      </c>
    </row>
    <row r="2" spans="1:13" s="27" customFormat="1" ht="100.5" customHeight="1" x14ac:dyDescent="0.25">
      <c r="A2" s="20" t="s">
        <v>42</v>
      </c>
      <c r="B2" s="21" t="s">
        <v>711</v>
      </c>
      <c r="C2" s="21" t="s">
        <v>712</v>
      </c>
      <c r="D2" s="21" t="s">
        <v>713</v>
      </c>
      <c r="E2" s="22">
        <v>171283</v>
      </c>
      <c r="F2" s="23">
        <v>4.5</v>
      </c>
      <c r="G2" s="24">
        <f>E2*F2+0.5</f>
        <v>770774</v>
      </c>
      <c r="H2" s="25">
        <v>800000</v>
      </c>
      <c r="I2" s="25"/>
      <c r="J2" s="26"/>
    </row>
    <row r="3" spans="1:13" s="27" customFormat="1" ht="100.5" customHeight="1" x14ac:dyDescent="0.25">
      <c r="A3" s="20" t="s">
        <v>42</v>
      </c>
      <c r="B3" s="21" t="s">
        <v>711</v>
      </c>
      <c r="C3" s="21" t="s">
        <v>714</v>
      </c>
      <c r="D3" s="21" t="s">
        <v>713</v>
      </c>
      <c r="E3" s="25"/>
      <c r="F3" s="28"/>
      <c r="G3" s="29"/>
      <c r="H3" s="25"/>
      <c r="I3" s="25"/>
      <c r="J3" s="25"/>
      <c r="M3" s="156"/>
    </row>
    <row r="4" spans="1:13" s="27" customFormat="1" ht="100.5" customHeight="1" x14ac:dyDescent="0.25">
      <c r="A4" s="20" t="s">
        <v>42</v>
      </c>
      <c r="B4" s="21" t="s">
        <v>711</v>
      </c>
      <c r="C4" s="21" t="s">
        <v>715</v>
      </c>
      <c r="D4" s="21" t="s">
        <v>713</v>
      </c>
      <c r="E4" s="25"/>
      <c r="F4" s="28"/>
      <c r="G4" s="29"/>
      <c r="H4" s="25"/>
      <c r="I4" s="25">
        <f>(30000*2)+60000</f>
        <v>120000</v>
      </c>
      <c r="J4" s="25"/>
      <c r="M4" s="156"/>
    </row>
    <row r="5" spans="1:13" s="27" customFormat="1" ht="100.5" customHeight="1" x14ac:dyDescent="0.25">
      <c r="A5" s="20" t="s">
        <v>42</v>
      </c>
      <c r="B5" s="21" t="s">
        <v>716</v>
      </c>
      <c r="C5" s="21" t="s">
        <v>717</v>
      </c>
      <c r="D5" s="21" t="s">
        <v>718</v>
      </c>
      <c r="E5" s="22">
        <v>171283</v>
      </c>
      <c r="F5" s="23">
        <v>4.5</v>
      </c>
      <c r="G5" s="24">
        <f>E5*F5+0.5</f>
        <v>770774</v>
      </c>
      <c r="H5" s="25"/>
      <c r="I5" s="25">
        <f>30000*2</f>
        <v>60000</v>
      </c>
      <c r="J5" s="25"/>
    </row>
    <row r="6" spans="1:13" s="27" customFormat="1" ht="100.5" customHeight="1" x14ac:dyDescent="0.25">
      <c r="A6" s="20" t="s">
        <v>42</v>
      </c>
      <c r="B6" s="21" t="s">
        <v>716</v>
      </c>
      <c r="C6" s="21" t="s">
        <v>719</v>
      </c>
      <c r="D6" s="21" t="s">
        <v>718</v>
      </c>
      <c r="E6" s="25"/>
      <c r="F6" s="28"/>
      <c r="G6" s="29">
        <f t="shared" ref="G6:G20" si="0">E6*F6</f>
        <v>0</v>
      </c>
      <c r="H6" s="25"/>
      <c r="I6" s="25">
        <f>40000*2</f>
        <v>80000</v>
      </c>
      <c r="J6" s="25"/>
    </row>
    <row r="7" spans="1:13" s="27" customFormat="1" ht="100.5" customHeight="1" x14ac:dyDescent="0.25">
      <c r="A7" s="20" t="s">
        <v>42</v>
      </c>
      <c r="B7" s="21" t="s">
        <v>716</v>
      </c>
      <c r="C7" s="21" t="s">
        <v>720</v>
      </c>
      <c r="D7" s="21" t="s">
        <v>718</v>
      </c>
      <c r="E7" s="25"/>
      <c r="F7" s="28"/>
      <c r="G7" s="29">
        <f t="shared" si="0"/>
        <v>0</v>
      </c>
      <c r="H7" s="25"/>
      <c r="I7" s="25">
        <f>10000*2</f>
        <v>20000</v>
      </c>
      <c r="J7" s="25"/>
    </row>
    <row r="8" spans="1:13" s="27" customFormat="1" ht="100.5" customHeight="1" x14ac:dyDescent="0.25">
      <c r="A8" s="20" t="s">
        <v>42</v>
      </c>
      <c r="B8" s="21" t="s">
        <v>716</v>
      </c>
      <c r="C8" s="21" t="s">
        <v>721</v>
      </c>
      <c r="D8" s="21" t="s">
        <v>718</v>
      </c>
      <c r="E8" s="25"/>
      <c r="F8" s="28"/>
      <c r="G8" s="29">
        <f t="shared" si="0"/>
        <v>0</v>
      </c>
      <c r="H8" s="25"/>
      <c r="I8" s="25">
        <f>15000*2</f>
        <v>30000</v>
      </c>
      <c r="J8" s="25"/>
    </row>
    <row r="9" spans="1:13" s="27" customFormat="1" ht="100.5" customHeight="1" x14ac:dyDescent="0.25">
      <c r="A9" s="20" t="s">
        <v>42</v>
      </c>
      <c r="B9" s="21" t="s">
        <v>722</v>
      </c>
      <c r="C9" s="21" t="s">
        <v>723</v>
      </c>
      <c r="D9" s="21" t="s">
        <v>724</v>
      </c>
      <c r="E9" s="22">
        <v>228866</v>
      </c>
      <c r="F9" s="23">
        <v>4.5</v>
      </c>
      <c r="G9" s="24">
        <f t="shared" si="0"/>
        <v>1029897</v>
      </c>
      <c r="H9" s="25">
        <v>800000</v>
      </c>
      <c r="I9" s="25">
        <f>(40000*2)+60000</f>
        <v>140000</v>
      </c>
      <c r="J9" s="25"/>
    </row>
    <row r="10" spans="1:13" s="27" customFormat="1" ht="100.5" customHeight="1" x14ac:dyDescent="0.25">
      <c r="A10" s="20" t="s">
        <v>42</v>
      </c>
      <c r="B10" s="21" t="s">
        <v>722</v>
      </c>
      <c r="C10" s="21" t="s">
        <v>725</v>
      </c>
      <c r="D10" s="21" t="s">
        <v>724</v>
      </c>
      <c r="E10" s="25"/>
      <c r="F10" s="28"/>
      <c r="G10" s="29">
        <f t="shared" si="0"/>
        <v>0</v>
      </c>
      <c r="H10" s="25"/>
      <c r="I10" s="25">
        <f>10000*2</f>
        <v>20000</v>
      </c>
      <c r="J10" s="25"/>
    </row>
    <row r="11" spans="1:13" s="27" customFormat="1" ht="100.5" customHeight="1" x14ac:dyDescent="0.25">
      <c r="A11" s="20" t="s">
        <v>42</v>
      </c>
      <c r="B11" s="21" t="s">
        <v>722</v>
      </c>
      <c r="C11" s="21" t="s">
        <v>726</v>
      </c>
      <c r="D11" s="21" t="s">
        <v>724</v>
      </c>
      <c r="E11" s="25"/>
      <c r="F11" s="28"/>
      <c r="G11" s="29">
        <f t="shared" si="0"/>
        <v>0</v>
      </c>
      <c r="H11" s="25"/>
      <c r="I11" s="25">
        <f>30000*2</f>
        <v>60000</v>
      </c>
      <c r="J11" s="25"/>
    </row>
    <row r="12" spans="1:13" s="27" customFormat="1" ht="100.5" customHeight="1" x14ac:dyDescent="0.25">
      <c r="A12" s="20" t="s">
        <v>42</v>
      </c>
      <c r="B12" s="21" t="s">
        <v>722</v>
      </c>
      <c r="C12" s="21" t="s">
        <v>727</v>
      </c>
      <c r="D12" s="21" t="s">
        <v>724</v>
      </c>
      <c r="E12" s="25"/>
      <c r="F12" s="28"/>
      <c r="G12" s="29">
        <f t="shared" si="0"/>
        <v>0</v>
      </c>
      <c r="H12" s="25"/>
      <c r="I12" s="25">
        <f>15000*2</f>
        <v>30000</v>
      </c>
      <c r="J12" s="25"/>
    </row>
    <row r="13" spans="1:13" s="27" customFormat="1" ht="100.5" customHeight="1" x14ac:dyDescent="0.25">
      <c r="A13" s="20" t="s">
        <v>42</v>
      </c>
      <c r="B13" s="21" t="s">
        <v>728</v>
      </c>
      <c r="C13" s="21" t="s">
        <v>729</v>
      </c>
      <c r="D13" s="21" t="s">
        <v>730</v>
      </c>
      <c r="E13" s="22">
        <v>171283</v>
      </c>
      <c r="F13" s="23">
        <v>4.5</v>
      </c>
      <c r="G13" s="24">
        <f>E13*F13+0.5</f>
        <v>770774</v>
      </c>
      <c r="H13" s="25">
        <v>800000</v>
      </c>
      <c r="I13" s="25">
        <f>(10000*2)+60000+90000</f>
        <v>170000</v>
      </c>
      <c r="J13" s="25" t="s">
        <v>731</v>
      </c>
    </row>
    <row r="14" spans="1:13" s="27" customFormat="1" ht="100.5" customHeight="1" x14ac:dyDescent="0.25">
      <c r="A14" s="20" t="s">
        <v>42</v>
      </c>
      <c r="B14" s="21" t="s">
        <v>728</v>
      </c>
      <c r="C14" s="21" t="s">
        <v>732</v>
      </c>
      <c r="D14" s="21" t="s">
        <v>730</v>
      </c>
      <c r="E14" s="25"/>
      <c r="F14" s="28"/>
      <c r="G14" s="29">
        <f t="shared" si="0"/>
        <v>0</v>
      </c>
      <c r="H14" s="25"/>
      <c r="I14" s="25">
        <f>10000*2</f>
        <v>20000</v>
      </c>
      <c r="J14" s="25"/>
    </row>
    <row r="15" spans="1:13" s="27" customFormat="1" ht="100.5" customHeight="1" x14ac:dyDescent="0.25">
      <c r="A15" s="20" t="s">
        <v>42</v>
      </c>
      <c r="B15" s="21" t="s">
        <v>733</v>
      </c>
      <c r="C15" s="21" t="s">
        <v>734</v>
      </c>
      <c r="D15" s="21" t="s">
        <v>735</v>
      </c>
      <c r="E15" s="22">
        <v>171283</v>
      </c>
      <c r="F15" s="23">
        <v>4.5</v>
      </c>
      <c r="G15" s="24">
        <f>E15*F15+0.5</f>
        <v>770774</v>
      </c>
      <c r="H15" s="25"/>
      <c r="I15" s="25">
        <f>60000*2</f>
        <v>120000</v>
      </c>
      <c r="J15" s="25"/>
    </row>
    <row r="16" spans="1:13" s="27" customFormat="1" ht="100.5" customHeight="1" x14ac:dyDescent="0.25">
      <c r="A16" s="20" t="s">
        <v>42</v>
      </c>
      <c r="B16" s="21" t="s">
        <v>736</v>
      </c>
      <c r="C16" s="21" t="s">
        <v>737</v>
      </c>
      <c r="D16" s="21" t="s">
        <v>738</v>
      </c>
      <c r="E16" s="22">
        <v>171283</v>
      </c>
      <c r="F16" s="23">
        <v>4.5</v>
      </c>
      <c r="G16" s="24">
        <f>E16*F16+0.5</f>
        <v>770774</v>
      </c>
      <c r="H16" s="25">
        <v>800000</v>
      </c>
      <c r="I16" s="25">
        <f>(60000*2)+60000</f>
        <v>180000</v>
      </c>
      <c r="J16" s="25"/>
    </row>
    <row r="17" spans="1:10" s="27" customFormat="1" ht="100.5" customHeight="1" x14ac:dyDescent="0.25">
      <c r="A17" s="20" t="s">
        <v>42</v>
      </c>
      <c r="B17" s="21" t="s">
        <v>739</v>
      </c>
      <c r="C17" s="21" t="s">
        <v>740</v>
      </c>
      <c r="D17" s="21" t="s">
        <v>735</v>
      </c>
      <c r="E17" s="22">
        <v>171283</v>
      </c>
      <c r="F17" s="23">
        <v>4.5</v>
      </c>
      <c r="G17" s="24">
        <f>E17*F17+0.5</f>
        <v>770774</v>
      </c>
      <c r="H17" s="25">
        <v>800000</v>
      </c>
      <c r="I17" s="25">
        <f>(50000*2)+60000+60000</f>
        <v>220000</v>
      </c>
      <c r="J17" s="25"/>
    </row>
    <row r="18" spans="1:10" s="27" customFormat="1" ht="100.5" customHeight="1" x14ac:dyDescent="0.25">
      <c r="A18" s="20" t="s">
        <v>42</v>
      </c>
      <c r="B18" s="21" t="s">
        <v>741</v>
      </c>
      <c r="C18" s="21" t="s">
        <v>742</v>
      </c>
      <c r="D18" s="21" t="s">
        <v>743</v>
      </c>
      <c r="E18" s="22">
        <v>228866</v>
      </c>
      <c r="F18" s="23">
        <v>4.5</v>
      </c>
      <c r="G18" s="24">
        <f t="shared" si="0"/>
        <v>1029897</v>
      </c>
      <c r="H18" s="25">
        <v>800000</v>
      </c>
      <c r="I18" s="25">
        <v>60000</v>
      </c>
      <c r="J18" s="25"/>
    </row>
    <row r="19" spans="1:10" s="27" customFormat="1" ht="100.5" customHeight="1" x14ac:dyDescent="0.25">
      <c r="A19" s="20" t="s">
        <v>42</v>
      </c>
      <c r="B19" s="21" t="s">
        <v>744</v>
      </c>
      <c r="C19" s="21" t="s">
        <v>745</v>
      </c>
      <c r="D19" s="21" t="s">
        <v>746</v>
      </c>
      <c r="E19" s="22">
        <v>171283</v>
      </c>
      <c r="F19" s="23">
        <v>4.5</v>
      </c>
      <c r="G19" s="24">
        <f>E19*F19+0.5</f>
        <v>770774</v>
      </c>
      <c r="H19" s="25">
        <v>800000</v>
      </c>
      <c r="I19" s="25">
        <f>(15000*2)+60000</f>
        <v>90000</v>
      </c>
      <c r="J19" s="25"/>
    </row>
    <row r="20" spans="1:10" s="27" customFormat="1" ht="100.5" customHeight="1" x14ac:dyDescent="0.25">
      <c r="A20" s="20" t="s">
        <v>42</v>
      </c>
      <c r="B20" s="21" t="s">
        <v>744</v>
      </c>
      <c r="C20" s="21" t="s">
        <v>747</v>
      </c>
      <c r="D20" s="21" t="s">
        <v>746</v>
      </c>
      <c r="E20" s="25"/>
      <c r="F20" s="28"/>
      <c r="G20" s="29">
        <f t="shared" si="0"/>
        <v>0</v>
      </c>
      <c r="H20" s="25"/>
      <c r="I20" s="25">
        <f>15000*2</f>
        <v>30000</v>
      </c>
      <c r="J20" s="25"/>
    </row>
    <row r="21" spans="1:10" s="27" customFormat="1" ht="100.5" customHeight="1" x14ac:dyDescent="0.25">
      <c r="A21" s="20"/>
      <c r="B21" s="21"/>
      <c r="C21" s="21"/>
      <c r="D21" s="21"/>
      <c r="E21" s="30">
        <f>SUBTOTAL(109,E2:E20)</f>
        <v>1656713</v>
      </c>
      <c r="F21" s="31"/>
      <c r="G21" s="32">
        <f>SUBTOTAL(109,G2:G20)</f>
        <v>7455212</v>
      </c>
      <c r="H21" s="30">
        <f>SUBTOTAL(109,H2:H20)</f>
        <v>5600000</v>
      </c>
      <c r="I21" s="30">
        <f>SUBTOTAL(109,I2:I20)</f>
        <v>1450000</v>
      </c>
      <c r="J21" s="25"/>
    </row>
    <row r="22" spans="1:10" s="27" customFormat="1" ht="78" customHeight="1" x14ac:dyDescent="0.25">
      <c r="A22" s="20" t="s">
        <v>204</v>
      </c>
      <c r="B22" s="21" t="s">
        <v>744</v>
      </c>
      <c r="C22" s="21" t="s">
        <v>748</v>
      </c>
      <c r="D22" s="21" t="s">
        <v>749</v>
      </c>
      <c r="E22" s="25">
        <v>228866</v>
      </c>
      <c r="F22" s="28">
        <v>4.5</v>
      </c>
      <c r="G22" s="33">
        <f t="shared" ref="G22:G23" si="1">E22*F22</f>
        <v>1029897</v>
      </c>
      <c r="H22" s="25">
        <v>800000</v>
      </c>
      <c r="I22" s="25">
        <f>60000+60000</f>
        <v>120000</v>
      </c>
      <c r="J22" s="25"/>
    </row>
    <row r="23" spans="1:10" s="27" customFormat="1" ht="78" customHeight="1" x14ac:dyDescent="0.25">
      <c r="A23" s="20" t="s">
        <v>204</v>
      </c>
      <c r="B23" s="34" t="s">
        <v>750</v>
      </c>
      <c r="C23" s="34" t="s">
        <v>751</v>
      </c>
      <c r="D23" s="34" t="s">
        <v>749</v>
      </c>
      <c r="E23" s="35">
        <v>228866</v>
      </c>
      <c r="F23" s="36">
        <v>4.5</v>
      </c>
      <c r="G23" s="37">
        <f t="shared" si="1"/>
        <v>1029897</v>
      </c>
      <c r="H23" s="35"/>
      <c r="I23" s="35">
        <f>60000*2</f>
        <v>120000</v>
      </c>
      <c r="J23" s="25"/>
    </row>
    <row r="24" spans="1:10" s="27" customFormat="1" ht="78" customHeight="1" x14ac:dyDescent="0.25">
      <c r="A24" s="20" t="s">
        <v>204</v>
      </c>
      <c r="B24" s="34" t="s">
        <v>752</v>
      </c>
      <c r="C24" s="34" t="s">
        <v>753</v>
      </c>
      <c r="D24" s="34" t="s">
        <v>754</v>
      </c>
      <c r="E24" s="35">
        <v>258320</v>
      </c>
      <c r="F24" s="36">
        <v>4.5</v>
      </c>
      <c r="G24" s="37">
        <f>+E24*F24</f>
        <v>1162440</v>
      </c>
      <c r="H24" s="35">
        <v>800000</v>
      </c>
      <c r="I24" s="35">
        <v>60000</v>
      </c>
      <c r="J24" s="25"/>
    </row>
    <row r="25" spans="1:10" s="27" customFormat="1" ht="78" customHeight="1" x14ac:dyDescent="0.25">
      <c r="A25" s="20" t="s">
        <v>204</v>
      </c>
      <c r="B25" s="34" t="s">
        <v>755</v>
      </c>
      <c r="C25" s="34" t="s">
        <v>756</v>
      </c>
      <c r="D25" s="34" t="s">
        <v>754</v>
      </c>
      <c r="E25" s="35">
        <v>258320</v>
      </c>
      <c r="F25" s="36">
        <v>4.5</v>
      </c>
      <c r="G25" s="37">
        <f>+E25*F25</f>
        <v>1162440</v>
      </c>
      <c r="H25" s="35">
        <v>800000</v>
      </c>
      <c r="I25" s="35">
        <v>60000</v>
      </c>
      <c r="J25" s="25"/>
    </row>
    <row r="26" spans="1:10" s="27" customFormat="1" ht="78" customHeight="1" x14ac:dyDescent="0.25">
      <c r="A26" s="20" t="s">
        <v>204</v>
      </c>
      <c r="B26" s="21" t="s">
        <v>757</v>
      </c>
      <c r="C26" s="21" t="s">
        <v>758</v>
      </c>
      <c r="D26" s="21" t="s">
        <v>749</v>
      </c>
      <c r="E26" s="25">
        <v>228866</v>
      </c>
      <c r="F26" s="28">
        <v>4.5</v>
      </c>
      <c r="G26" s="33">
        <f t="shared" ref="G26" si="2">E26*F26</f>
        <v>1029897</v>
      </c>
      <c r="H26" s="25">
        <v>800000</v>
      </c>
      <c r="I26" s="25">
        <v>60000</v>
      </c>
      <c r="J26" s="25"/>
    </row>
    <row r="27" spans="1:10" s="27" customFormat="1" ht="78" customHeight="1" x14ac:dyDescent="0.25">
      <c r="A27" s="20" t="s">
        <v>204</v>
      </c>
      <c r="B27" s="21" t="s">
        <v>759</v>
      </c>
      <c r="C27" s="21" t="s">
        <v>760</v>
      </c>
      <c r="D27" s="21" t="s">
        <v>754</v>
      </c>
      <c r="E27" s="25">
        <v>258320</v>
      </c>
      <c r="F27" s="28">
        <v>4.5</v>
      </c>
      <c r="G27" s="33">
        <f>+E27*F27</f>
        <v>1162440</v>
      </c>
      <c r="H27" s="25">
        <v>800000</v>
      </c>
      <c r="I27" s="25">
        <f>(60000*2)+60000</f>
        <v>180000</v>
      </c>
      <c r="J27" s="25"/>
    </row>
    <row r="28" spans="1:10" s="27" customFormat="1" ht="78" customHeight="1" x14ac:dyDescent="0.25">
      <c r="A28" s="20" t="s">
        <v>204</v>
      </c>
      <c r="B28" s="21" t="s">
        <v>701</v>
      </c>
      <c r="C28" s="21" t="s">
        <v>761</v>
      </c>
      <c r="D28" s="21" t="s">
        <v>762</v>
      </c>
      <c r="E28" s="25">
        <v>228866</v>
      </c>
      <c r="F28" s="28">
        <v>4.5</v>
      </c>
      <c r="G28" s="33">
        <f t="shared" ref="G28:G30" si="3">E28*F28</f>
        <v>1029897</v>
      </c>
      <c r="H28" s="25"/>
      <c r="I28" s="25">
        <f>70000*2</f>
        <v>140000</v>
      </c>
      <c r="J28" s="25"/>
    </row>
    <row r="29" spans="1:10" s="27" customFormat="1" ht="78" customHeight="1" x14ac:dyDescent="0.25">
      <c r="A29" s="20" t="s">
        <v>204</v>
      </c>
      <c r="B29" s="21" t="s">
        <v>741</v>
      </c>
      <c r="C29" s="21" t="s">
        <v>763</v>
      </c>
      <c r="D29" s="21" t="s">
        <v>762</v>
      </c>
      <c r="E29" s="25">
        <v>228866</v>
      </c>
      <c r="F29" s="28">
        <v>4.5</v>
      </c>
      <c r="G29" s="33">
        <f t="shared" si="3"/>
        <v>1029897</v>
      </c>
      <c r="H29" s="25">
        <v>800000</v>
      </c>
      <c r="I29" s="25">
        <f>60000+90000</f>
        <v>150000</v>
      </c>
      <c r="J29" s="25"/>
    </row>
    <row r="30" spans="1:10" s="27" customFormat="1" ht="78" customHeight="1" x14ac:dyDescent="0.25">
      <c r="A30" s="20" t="s">
        <v>204</v>
      </c>
      <c r="B30" s="21" t="s">
        <v>764</v>
      </c>
      <c r="C30" s="21" t="s">
        <v>765</v>
      </c>
      <c r="D30" s="21" t="s">
        <v>199</v>
      </c>
      <c r="E30" s="25">
        <v>228866</v>
      </c>
      <c r="F30" s="28">
        <v>4.5</v>
      </c>
      <c r="G30" s="33">
        <f t="shared" si="3"/>
        <v>1029897</v>
      </c>
      <c r="H30" s="25">
        <v>800000</v>
      </c>
      <c r="I30" s="25">
        <v>60000</v>
      </c>
      <c r="J30" s="25"/>
    </row>
    <row r="31" spans="1:10" s="27" customFormat="1" ht="78" customHeight="1" x14ac:dyDescent="0.25">
      <c r="A31" s="20" t="s">
        <v>204</v>
      </c>
      <c r="B31" s="21" t="s">
        <v>766</v>
      </c>
      <c r="C31" s="21" t="s">
        <v>766</v>
      </c>
      <c r="D31" s="21" t="s">
        <v>82</v>
      </c>
      <c r="E31" s="25">
        <v>258320</v>
      </c>
      <c r="F31" s="28">
        <v>4.5</v>
      </c>
      <c r="G31" s="33">
        <f>+E31*F31</f>
        <v>1162440</v>
      </c>
      <c r="H31" s="25">
        <v>800000</v>
      </c>
      <c r="I31" s="25">
        <v>60000</v>
      </c>
      <c r="J31" s="25"/>
    </row>
    <row r="32" spans="1:10" s="27" customFormat="1" ht="78" customHeight="1" x14ac:dyDescent="0.25">
      <c r="A32" s="38"/>
      <c r="B32" s="39"/>
      <c r="C32" s="39"/>
      <c r="D32" s="39"/>
      <c r="E32" s="40"/>
      <c r="F32" s="41"/>
      <c r="G32" s="42">
        <f>SUBTOTAL(109,G22:G31)</f>
        <v>10829142</v>
      </c>
      <c r="H32" s="40">
        <f>SUBTOTAL(109,H22:H31)</f>
        <v>6400000</v>
      </c>
      <c r="I32" s="40">
        <f>SUM(I22:I31)</f>
        <v>1010000</v>
      </c>
      <c r="J32" s="25"/>
    </row>
    <row r="33" spans="1:10" s="27" customFormat="1" ht="78" customHeight="1" x14ac:dyDescent="0.25">
      <c r="A33" s="20" t="s">
        <v>80</v>
      </c>
      <c r="B33" s="21" t="s">
        <v>767</v>
      </c>
      <c r="C33" s="21" t="s">
        <v>768</v>
      </c>
      <c r="D33" s="21" t="s">
        <v>769</v>
      </c>
      <c r="E33" s="25">
        <v>228866</v>
      </c>
      <c r="F33" s="28" t="s">
        <v>770</v>
      </c>
      <c r="G33" s="33">
        <v>801031</v>
      </c>
      <c r="H33" s="25">
        <v>800000</v>
      </c>
      <c r="I33" s="25">
        <v>60000</v>
      </c>
      <c r="J33" s="25"/>
    </row>
    <row r="34" spans="1:10" s="27" customFormat="1" ht="78" customHeight="1" x14ac:dyDescent="0.25">
      <c r="A34" s="20" t="s">
        <v>80</v>
      </c>
      <c r="B34" s="21" t="s">
        <v>771</v>
      </c>
      <c r="C34" s="21" t="s">
        <v>772</v>
      </c>
      <c r="D34" s="21" t="s">
        <v>82</v>
      </c>
      <c r="E34" s="25">
        <v>258320</v>
      </c>
      <c r="F34" s="28" t="s">
        <v>770</v>
      </c>
      <c r="G34" s="33">
        <v>904120</v>
      </c>
      <c r="H34" s="25">
        <v>800000</v>
      </c>
      <c r="I34" s="25">
        <v>60000</v>
      </c>
      <c r="J34" s="25"/>
    </row>
    <row r="35" spans="1:10" s="27" customFormat="1" ht="78" customHeight="1" x14ac:dyDescent="0.25">
      <c r="A35" s="20" t="s">
        <v>80</v>
      </c>
      <c r="B35" s="21" t="s">
        <v>773</v>
      </c>
      <c r="C35" s="21" t="s">
        <v>774</v>
      </c>
      <c r="D35" s="21" t="s">
        <v>82</v>
      </c>
      <c r="E35" s="25">
        <v>258320</v>
      </c>
      <c r="F35" s="28" t="s">
        <v>770</v>
      </c>
      <c r="G35" s="33">
        <v>904120</v>
      </c>
      <c r="H35" s="25">
        <v>800000</v>
      </c>
      <c r="I35" s="25">
        <v>60000</v>
      </c>
      <c r="J35" s="25"/>
    </row>
    <row r="36" spans="1:10" s="27" customFormat="1" ht="78" customHeight="1" x14ac:dyDescent="0.25">
      <c r="A36" s="20" t="s">
        <v>80</v>
      </c>
      <c r="B36" s="21" t="s">
        <v>775</v>
      </c>
      <c r="C36" s="21" t="s">
        <v>776</v>
      </c>
      <c r="D36" s="21" t="s">
        <v>769</v>
      </c>
      <c r="E36" s="25">
        <v>228866</v>
      </c>
      <c r="F36" s="28" t="s">
        <v>770</v>
      </c>
      <c r="G36" s="33">
        <v>801031</v>
      </c>
      <c r="H36" s="25">
        <v>800000</v>
      </c>
      <c r="I36" s="25">
        <f>60000+70000</f>
        <v>130000</v>
      </c>
      <c r="J36" s="25"/>
    </row>
    <row r="37" spans="1:10" s="27" customFormat="1" ht="78" customHeight="1" x14ac:dyDescent="0.25">
      <c r="A37" s="20" t="s">
        <v>80</v>
      </c>
      <c r="B37" s="21" t="s">
        <v>777</v>
      </c>
      <c r="C37" s="21" t="s">
        <v>778</v>
      </c>
      <c r="D37" s="21" t="s">
        <v>749</v>
      </c>
      <c r="E37" s="25">
        <v>228866</v>
      </c>
      <c r="F37" s="28" t="s">
        <v>770</v>
      </c>
      <c r="G37" s="33">
        <v>801031</v>
      </c>
      <c r="H37" s="25">
        <v>800000</v>
      </c>
      <c r="I37" s="25">
        <v>60000</v>
      </c>
      <c r="J37" s="25"/>
    </row>
    <row r="38" spans="1:10" s="27" customFormat="1" ht="78" customHeight="1" x14ac:dyDescent="0.25">
      <c r="A38" s="38"/>
      <c r="B38" s="39"/>
      <c r="C38" s="39"/>
      <c r="D38" s="39"/>
      <c r="E38" s="40"/>
      <c r="F38" s="41"/>
      <c r="G38" s="42">
        <f>SUBTOTAL(109,G33:G37)</f>
        <v>4211333</v>
      </c>
      <c r="H38" s="42">
        <f t="shared" ref="H38:I38" si="4">SUBTOTAL(109,H33:H37)</f>
        <v>4000000</v>
      </c>
      <c r="I38" s="42">
        <f t="shared" si="4"/>
        <v>370000</v>
      </c>
      <c r="J38" s="40"/>
    </row>
    <row r="39" spans="1:10" s="27" customFormat="1" ht="78" customHeight="1" x14ac:dyDescent="0.25">
      <c r="A39" s="20" t="s">
        <v>196</v>
      </c>
      <c r="B39" s="21" t="s">
        <v>779</v>
      </c>
      <c r="C39" s="21" t="s">
        <v>780</v>
      </c>
      <c r="D39" s="21" t="s">
        <v>781</v>
      </c>
      <c r="E39" s="25">
        <v>258320</v>
      </c>
      <c r="F39" s="28" t="s">
        <v>770</v>
      </c>
      <c r="G39" s="33">
        <v>904120</v>
      </c>
      <c r="H39" s="25">
        <v>800000</v>
      </c>
      <c r="I39" s="25">
        <v>60000</v>
      </c>
      <c r="J39" s="25"/>
    </row>
    <row r="40" spans="1:10" s="27" customFormat="1" ht="78" customHeight="1" x14ac:dyDescent="0.25">
      <c r="A40" s="20" t="s">
        <v>196</v>
      </c>
      <c r="B40" s="21" t="s">
        <v>782</v>
      </c>
      <c r="C40" s="21" t="s">
        <v>783</v>
      </c>
      <c r="D40" s="21" t="s">
        <v>784</v>
      </c>
      <c r="E40" s="25">
        <f t="shared" ref="E40:G40" si="5">E39</f>
        <v>258320</v>
      </c>
      <c r="F40" s="28">
        <v>3.5</v>
      </c>
      <c r="G40" s="33">
        <f t="shared" si="5"/>
        <v>904120</v>
      </c>
      <c r="H40" s="25">
        <v>800000</v>
      </c>
      <c r="I40" s="25">
        <v>60000</v>
      </c>
      <c r="J40" s="25"/>
    </row>
    <row r="41" spans="1:10" s="27" customFormat="1" ht="59.25" customHeight="1" x14ac:dyDescent="0.25">
      <c r="A41" s="38" t="s">
        <v>785</v>
      </c>
      <c r="B41" s="39"/>
      <c r="C41" s="39"/>
      <c r="D41" s="39"/>
      <c r="E41" s="40"/>
      <c r="F41" s="41"/>
      <c r="G41" s="42">
        <f>+G39+G40</f>
        <v>1808240</v>
      </c>
      <c r="H41" s="42">
        <f t="shared" ref="H41:I41" si="6">+H39+H40</f>
        <v>1600000</v>
      </c>
      <c r="I41" s="42">
        <f t="shared" si="6"/>
        <v>120000</v>
      </c>
      <c r="J41" s="25"/>
    </row>
    <row r="42" spans="1:10" s="43" customFormat="1" ht="107.25" customHeight="1" x14ac:dyDescent="0.3">
      <c r="A42" s="162" t="s">
        <v>196</v>
      </c>
      <c r="B42" s="163"/>
      <c r="C42" s="163"/>
      <c r="D42" s="163" t="s">
        <v>713</v>
      </c>
      <c r="E42" s="164">
        <v>180053</v>
      </c>
      <c r="F42" s="165">
        <v>4.5</v>
      </c>
      <c r="G42" s="166">
        <f>+Tabla2[[#This Row],[Viáticos]]*Tabla2[[#This Row],['# días]]</f>
        <v>810238.5</v>
      </c>
      <c r="H42" s="164">
        <v>800000</v>
      </c>
      <c r="I42" s="164">
        <v>80000</v>
      </c>
      <c r="J42" s="25" t="s">
        <v>786</v>
      </c>
    </row>
    <row r="43" spans="1:10" s="27" customFormat="1" ht="85.5" customHeight="1" x14ac:dyDescent="0.25">
      <c r="A43" s="162" t="s">
        <v>196</v>
      </c>
      <c r="B43" s="163"/>
      <c r="C43" s="163"/>
      <c r="D43" s="163" t="s">
        <v>713</v>
      </c>
      <c r="E43" s="164">
        <v>180053</v>
      </c>
      <c r="F43" s="165">
        <v>4.5</v>
      </c>
      <c r="G43" s="166">
        <f>+Tabla2[[#This Row],[Viáticos]]*Tabla2[[#This Row],['# días]]</f>
        <v>810238.5</v>
      </c>
      <c r="H43" s="164">
        <v>800000</v>
      </c>
      <c r="I43" s="164">
        <v>80000</v>
      </c>
      <c r="J43" s="25" t="s">
        <v>786</v>
      </c>
    </row>
    <row r="44" spans="1:10" s="27" customFormat="1" ht="85.5" customHeight="1" x14ac:dyDescent="0.25">
      <c r="A44" s="162" t="s">
        <v>196</v>
      </c>
      <c r="B44" s="163"/>
      <c r="C44" s="163"/>
      <c r="D44" s="163" t="s">
        <v>787</v>
      </c>
      <c r="E44" s="164">
        <v>209511</v>
      </c>
      <c r="F44" s="165">
        <v>4.5</v>
      </c>
      <c r="G44" s="166">
        <f>+Tabla2[[#This Row],[Viáticos]]*Tabla2[[#This Row],['# días]]</f>
        <v>942799.5</v>
      </c>
      <c r="H44" s="164">
        <v>800000</v>
      </c>
      <c r="I44" s="164">
        <v>80000</v>
      </c>
      <c r="J44" s="25" t="s">
        <v>786</v>
      </c>
    </row>
    <row r="45" spans="1:10" s="27" customFormat="1" ht="85.5" customHeight="1" x14ac:dyDescent="0.25">
      <c r="A45" s="162" t="s">
        <v>196</v>
      </c>
      <c r="B45" s="163"/>
      <c r="C45" s="163"/>
      <c r="D45" s="163" t="s">
        <v>787</v>
      </c>
      <c r="E45" s="164">
        <v>209511</v>
      </c>
      <c r="F45" s="165">
        <v>4.5</v>
      </c>
      <c r="G45" s="166">
        <f>+Tabla2[[#This Row],[Viáticos]]*Tabla2[[#This Row],['# días]]</f>
        <v>942799.5</v>
      </c>
      <c r="H45" s="164">
        <v>800000</v>
      </c>
      <c r="I45" s="164">
        <v>80000</v>
      </c>
      <c r="J45" s="25" t="s">
        <v>786</v>
      </c>
    </row>
    <row r="46" spans="1:10" s="43" customFormat="1" ht="81" customHeight="1" x14ac:dyDescent="0.3">
      <c r="A46" s="162"/>
      <c r="B46" s="163"/>
      <c r="C46" s="163"/>
      <c r="D46" s="163"/>
      <c r="E46" s="164"/>
      <c r="F46" s="165"/>
      <c r="G46" s="166">
        <f>+G42+G43+G44+G45</f>
        <v>3506076</v>
      </c>
      <c r="H46" s="164">
        <f>+H43+H44+H45</f>
        <v>2400000</v>
      </c>
      <c r="I46" s="164">
        <f>+I43+I44+I45</f>
        <v>240000</v>
      </c>
      <c r="J46" s="25" t="s">
        <v>786</v>
      </c>
    </row>
    <row r="47" spans="1:10" s="44" customFormat="1" ht="78.75" customHeight="1" x14ac:dyDescent="0.3">
      <c r="A47" s="167" t="s">
        <v>788</v>
      </c>
      <c r="B47" s="168"/>
      <c r="C47" s="168"/>
      <c r="D47" s="168"/>
      <c r="E47" s="169"/>
      <c r="F47" s="170"/>
      <c r="G47" s="171">
        <f>+G46+G41</f>
        <v>5314316</v>
      </c>
      <c r="H47" s="169">
        <f>+H46+H41</f>
        <v>4000000</v>
      </c>
      <c r="I47" s="169">
        <f>+I46+I41</f>
        <v>360000</v>
      </c>
      <c r="J47" s="169"/>
    </row>
    <row r="48" spans="1:10" s="44" customFormat="1" ht="87.75" customHeight="1" x14ac:dyDescent="0.3">
      <c r="A48" s="20"/>
      <c r="B48" s="21"/>
      <c r="C48" s="21"/>
      <c r="D48" s="21"/>
      <c r="E48" s="25"/>
      <c r="F48" s="28"/>
      <c r="G48" s="33">
        <f>+Tabla2[[#This Row],[Viáticos]]*Tabla2[[#This Row],['# días]]</f>
        <v>0</v>
      </c>
      <c r="H48" s="25"/>
      <c r="I48" s="25"/>
      <c r="J48" s="25"/>
    </row>
    <row r="49" spans="1:10" s="27" customFormat="1" ht="87" customHeight="1" x14ac:dyDescent="0.25">
      <c r="A49" s="20"/>
      <c r="B49" s="21"/>
      <c r="C49" s="21"/>
      <c r="D49" s="21"/>
      <c r="E49" s="25"/>
      <c r="F49" s="28"/>
      <c r="G49" s="33">
        <f>+Tabla2[[#This Row],[Viáticos]]*Tabla2[[#This Row],['# días]]</f>
        <v>0</v>
      </c>
      <c r="H49" s="25"/>
      <c r="I49" s="25"/>
      <c r="J49" s="25"/>
    </row>
    <row r="50" spans="1:10" s="27" customFormat="1" ht="59.25" customHeight="1" x14ac:dyDescent="0.25">
      <c r="A50" s="20"/>
      <c r="B50" s="21"/>
      <c r="C50" s="21"/>
      <c r="D50" s="21"/>
      <c r="E50" s="25"/>
      <c r="F50" s="28"/>
      <c r="G50" s="33">
        <f>+Tabla2[[#This Row],[Viáticos]]*Tabla2[[#This Row],['# días]]</f>
        <v>0</v>
      </c>
      <c r="H50" s="25"/>
      <c r="I50" s="25"/>
      <c r="J50" s="25"/>
    </row>
    <row r="51" spans="1:10" s="27" customFormat="1" ht="78" customHeight="1" x14ac:dyDescent="0.25">
      <c r="A51" s="20"/>
      <c r="B51" s="21"/>
      <c r="C51" s="21"/>
      <c r="D51" s="21"/>
      <c r="E51" s="25"/>
      <c r="F51" s="28"/>
      <c r="G51" s="33">
        <f>+Tabla2[[#This Row],[Viáticos]]*Tabla2[[#This Row],['# días]]</f>
        <v>0</v>
      </c>
      <c r="H51" s="25"/>
      <c r="I51" s="25"/>
      <c r="J51" s="25"/>
    </row>
    <row r="52" spans="1:10" s="27" customFormat="1" ht="78" customHeight="1" x14ac:dyDescent="0.25">
      <c r="A52" s="20"/>
      <c r="B52" s="21"/>
      <c r="C52" s="21"/>
      <c r="D52" s="21"/>
      <c r="E52" s="25"/>
      <c r="F52" s="28"/>
      <c r="G52" s="33">
        <f>+Tabla2[[#This Row],[Viáticos]]*Tabla2[[#This Row],['# días]]</f>
        <v>0</v>
      </c>
      <c r="H52" s="25"/>
      <c r="I52" s="25"/>
      <c r="J52" s="25"/>
    </row>
    <row r="53" spans="1:10" s="27" customFormat="1" ht="78" customHeight="1" x14ac:dyDescent="0.25">
      <c r="A53" s="20"/>
      <c r="B53" s="21"/>
      <c r="C53" s="21"/>
      <c r="D53" s="21"/>
      <c r="E53" s="25"/>
      <c r="F53" s="28"/>
      <c r="G53" s="33">
        <f>+Tabla2[[#This Row],[Viáticos]]*Tabla2[[#This Row],['# días]]</f>
        <v>0</v>
      </c>
      <c r="H53" s="25"/>
      <c r="I53" s="25"/>
      <c r="J53" s="25"/>
    </row>
    <row r="54" spans="1:10" s="27" customFormat="1" ht="90" customHeight="1" x14ac:dyDescent="0.25">
      <c r="A54" s="20"/>
      <c r="B54" s="21"/>
      <c r="C54" s="21"/>
      <c r="D54" s="21"/>
      <c r="E54" s="25"/>
      <c r="F54" s="28"/>
      <c r="G54" s="33">
        <f>+Tabla2[[#This Row],[Viáticos]]*Tabla2[[#This Row],['# días]]</f>
        <v>0</v>
      </c>
      <c r="H54" s="25"/>
      <c r="I54" s="25"/>
      <c r="J54" s="25"/>
    </row>
    <row r="55" spans="1:10" s="27" customFormat="1" ht="87" customHeight="1" x14ac:dyDescent="0.25">
      <c r="A55" s="20"/>
      <c r="B55" s="21"/>
      <c r="C55" s="21"/>
      <c r="D55" s="21"/>
      <c r="E55" s="25"/>
      <c r="F55" s="28"/>
      <c r="G55" s="33">
        <f>+Tabla2[[#This Row],[Viáticos]]*Tabla2[[#This Row],['# días]]</f>
        <v>0</v>
      </c>
      <c r="H55" s="25"/>
      <c r="I55" s="25"/>
      <c r="J55" s="25"/>
    </row>
    <row r="56" spans="1:10" s="27" customFormat="1" ht="75.75" customHeight="1" x14ac:dyDescent="0.25">
      <c r="A56" s="20"/>
      <c r="B56" s="21"/>
      <c r="C56" s="21"/>
      <c r="D56" s="21"/>
      <c r="E56" s="25"/>
      <c r="F56" s="28"/>
      <c r="G56" s="33">
        <f>+Tabla2[[#This Row],[Viáticos]]*Tabla2[[#This Row],['# días]]</f>
        <v>0</v>
      </c>
      <c r="H56" s="25"/>
      <c r="I56" s="25"/>
      <c r="J56" s="25"/>
    </row>
    <row r="57" spans="1:10" s="27" customFormat="1" ht="81.75" customHeight="1" x14ac:dyDescent="0.25">
      <c r="A57" s="20"/>
      <c r="B57" s="21"/>
      <c r="C57" s="21"/>
      <c r="D57" s="21"/>
      <c r="E57" s="25"/>
      <c r="F57" s="28"/>
      <c r="G57" s="33">
        <f>+Tabla2[[#This Row],[Viáticos]]*Tabla2[[#This Row],['# días]]</f>
        <v>0</v>
      </c>
      <c r="H57" s="25"/>
      <c r="I57" s="25"/>
      <c r="J57" s="25"/>
    </row>
    <row r="58" spans="1:10" s="27" customFormat="1" ht="99.75" customHeight="1" x14ac:dyDescent="0.25">
      <c r="A58" s="20"/>
      <c r="B58" s="21"/>
      <c r="C58" s="21"/>
      <c r="D58" s="21"/>
      <c r="E58" s="25"/>
      <c r="F58" s="28"/>
      <c r="G58" s="33">
        <f>+Tabla2[[#This Row],[Viáticos]]*Tabla2[[#This Row],['# días]]</f>
        <v>0</v>
      </c>
      <c r="H58" s="25"/>
      <c r="I58" s="25"/>
      <c r="J58" s="25"/>
    </row>
    <row r="59" spans="1:10" s="27" customFormat="1" ht="101.25" customHeight="1" x14ac:dyDescent="0.25">
      <c r="A59" s="20"/>
      <c r="B59" s="21"/>
      <c r="C59" s="21"/>
      <c r="D59" s="21"/>
      <c r="E59" s="25"/>
      <c r="F59" s="28"/>
      <c r="G59" s="33">
        <f>+Tabla2[[#This Row],[Viáticos]]*Tabla2[[#This Row],['# días]]</f>
        <v>0</v>
      </c>
      <c r="H59" s="25"/>
      <c r="I59" s="25"/>
      <c r="J59" s="25"/>
    </row>
    <row r="60" spans="1:10" s="27" customFormat="1" ht="75" customHeight="1" x14ac:dyDescent="0.25">
      <c r="A60" s="20"/>
      <c r="B60" s="21"/>
      <c r="C60" s="21"/>
      <c r="D60" s="21"/>
      <c r="E60" s="25"/>
      <c r="F60" s="28"/>
      <c r="G60" s="33">
        <f>+Tabla2[[#This Row],[Viáticos]]*Tabla2[[#This Row],['# días]]</f>
        <v>0</v>
      </c>
      <c r="H60" s="25"/>
      <c r="I60" s="25"/>
      <c r="J60" s="25"/>
    </row>
    <row r="61" spans="1:10" s="45" customFormat="1" ht="90.75" customHeight="1" x14ac:dyDescent="0.3">
      <c r="A61" s="20"/>
      <c r="B61" s="21"/>
      <c r="C61" s="21"/>
      <c r="D61" s="21"/>
      <c r="E61" s="25"/>
      <c r="F61" s="28"/>
      <c r="G61" s="33">
        <f>+Tabla2[[#This Row],[Viáticos]]*Tabla2[[#This Row],['# días]]</f>
        <v>0</v>
      </c>
      <c r="H61" s="25"/>
      <c r="I61" s="25"/>
      <c r="J61" s="25"/>
    </row>
    <row r="62" spans="1:10" s="27" customFormat="1" ht="90.75" customHeight="1" x14ac:dyDescent="0.25">
      <c r="A62" s="20"/>
      <c r="B62" s="21"/>
      <c r="C62" s="21"/>
      <c r="D62" s="21"/>
      <c r="E62" s="25"/>
      <c r="F62" s="28"/>
      <c r="G62" s="33">
        <f>+Tabla2[[#This Row],[Viáticos]]*Tabla2[[#This Row],['# días]]</f>
        <v>0</v>
      </c>
      <c r="H62" s="25"/>
      <c r="I62" s="25"/>
      <c r="J62" s="25"/>
    </row>
    <row r="63" spans="1:10" s="27" customFormat="1" ht="90.75" customHeight="1" x14ac:dyDescent="0.25">
      <c r="A63" s="20"/>
      <c r="B63" s="21"/>
      <c r="C63" s="21"/>
      <c r="D63" s="21"/>
      <c r="E63" s="25"/>
      <c r="F63" s="28"/>
      <c r="G63" s="33">
        <f>+Tabla2[[#This Row],[Viáticos]]*Tabla2[[#This Row],['# días]]</f>
        <v>0</v>
      </c>
      <c r="H63" s="25"/>
      <c r="I63" s="25"/>
      <c r="J63" s="25"/>
    </row>
    <row r="64" spans="1:10" s="27" customFormat="1" ht="90.75" customHeight="1" x14ac:dyDescent="0.25">
      <c r="A64" s="20"/>
      <c r="B64" s="21"/>
      <c r="C64" s="21"/>
      <c r="D64" s="21"/>
      <c r="E64" s="25"/>
      <c r="F64" s="28"/>
      <c r="G64" s="33">
        <f>+Tabla2[[#This Row],[Viáticos]]*Tabla2[[#This Row],['# días]]</f>
        <v>0</v>
      </c>
      <c r="H64" s="25"/>
      <c r="I64" s="25"/>
      <c r="J64" s="25"/>
    </row>
    <row r="65" spans="1:10" s="27" customFormat="1" ht="72.75" customHeight="1" x14ac:dyDescent="0.25">
      <c r="A65" s="20"/>
      <c r="B65" s="21"/>
      <c r="C65" s="21"/>
      <c r="D65" s="21"/>
      <c r="E65" s="25"/>
      <c r="F65" s="28"/>
      <c r="G65" s="33">
        <f>+Tabla2[[#This Row],[Viáticos]]*Tabla2[[#This Row],['# días]]</f>
        <v>0</v>
      </c>
      <c r="H65" s="25"/>
      <c r="I65" s="25"/>
      <c r="J65" s="25"/>
    </row>
    <row r="66" spans="1:10" s="27" customFormat="1" ht="90.75" customHeight="1" x14ac:dyDescent="0.25">
      <c r="A66" s="20"/>
      <c r="B66" s="21"/>
      <c r="C66" s="21"/>
      <c r="D66" s="21"/>
      <c r="E66" s="25"/>
      <c r="F66" s="28"/>
      <c r="G66" s="33">
        <f>+Tabla2[[#This Row],[Viáticos]]*Tabla2[[#This Row],['# días]]</f>
        <v>0</v>
      </c>
      <c r="H66" s="25"/>
      <c r="I66" s="25"/>
      <c r="J66" s="25"/>
    </row>
    <row r="67" spans="1:10" s="27" customFormat="1" ht="94.5" customHeight="1" x14ac:dyDescent="0.25">
      <c r="A67" s="20"/>
      <c r="B67" s="21"/>
      <c r="C67" s="21"/>
      <c r="D67" s="21"/>
      <c r="E67" s="25"/>
      <c r="F67" s="28"/>
      <c r="G67" s="33">
        <f>+Tabla2[[#This Row],[Viáticos]]*Tabla2[[#This Row],['# días]]</f>
        <v>0</v>
      </c>
      <c r="H67" s="25"/>
      <c r="I67" s="25"/>
      <c r="J67" s="25"/>
    </row>
    <row r="68" spans="1:10" s="27" customFormat="1" ht="88.5" customHeight="1" x14ac:dyDescent="0.25">
      <c r="A68" s="20"/>
      <c r="B68" s="21"/>
      <c r="C68" s="21"/>
      <c r="D68" s="21"/>
      <c r="E68" s="25"/>
      <c r="F68" s="28"/>
      <c r="G68" s="33">
        <f>+Tabla2[[#This Row],[Viáticos]]*Tabla2[[#This Row],['# días]]</f>
        <v>0</v>
      </c>
      <c r="H68" s="25"/>
      <c r="I68" s="25"/>
      <c r="J68" s="25"/>
    </row>
    <row r="69" spans="1:10" s="27" customFormat="1" ht="79.5" customHeight="1" x14ac:dyDescent="0.25">
      <c r="A69" s="20"/>
      <c r="B69" s="21"/>
      <c r="C69" s="21"/>
      <c r="D69" s="21"/>
      <c r="E69" s="25"/>
      <c r="F69" s="28"/>
      <c r="G69" s="33">
        <f>+Tabla2[[#This Row],[Viáticos]]*Tabla2[[#This Row],['# días]]</f>
        <v>0</v>
      </c>
      <c r="H69" s="25"/>
      <c r="I69" s="25"/>
      <c r="J69" s="25"/>
    </row>
    <row r="70" spans="1:10" s="27" customFormat="1" ht="114.75" customHeight="1" x14ac:dyDescent="0.25">
      <c r="A70" s="20"/>
      <c r="B70" s="21"/>
      <c r="C70" s="21"/>
      <c r="D70" s="21"/>
      <c r="E70" s="25"/>
      <c r="F70" s="28"/>
      <c r="G70" s="33">
        <f>+Tabla2[[#This Row],[Viáticos]]*Tabla2[[#This Row],['# días]]</f>
        <v>0</v>
      </c>
      <c r="H70" s="25"/>
      <c r="I70" s="25"/>
      <c r="J70" s="25"/>
    </row>
    <row r="71" spans="1:10" s="27" customFormat="1" ht="93.75" customHeight="1" x14ac:dyDescent="0.25">
      <c r="A71" s="20"/>
      <c r="B71" s="21"/>
      <c r="C71" s="21"/>
      <c r="D71" s="21"/>
      <c r="E71" s="25"/>
      <c r="F71" s="28"/>
      <c r="G71" s="33">
        <f>+Tabla2[[#This Row],[Viáticos]]*Tabla2[[#This Row],['# días]]</f>
        <v>0</v>
      </c>
      <c r="H71" s="25"/>
      <c r="I71" s="25"/>
      <c r="J71" s="25"/>
    </row>
    <row r="72" spans="1:10" s="27" customFormat="1" ht="99.75" customHeight="1" x14ac:dyDescent="0.25">
      <c r="A72" s="20"/>
      <c r="B72" s="21"/>
      <c r="C72" s="21"/>
      <c r="D72" s="21"/>
      <c r="E72" s="25"/>
      <c r="F72" s="28"/>
      <c r="G72" s="33">
        <f>+Tabla2[[#This Row],[Viáticos]]*Tabla2[[#This Row],['# días]]</f>
        <v>0</v>
      </c>
      <c r="H72" s="25"/>
      <c r="I72" s="25"/>
      <c r="J72" s="25"/>
    </row>
    <row r="73" spans="1:10" s="27" customFormat="1" ht="113.25" customHeight="1" x14ac:dyDescent="0.25">
      <c r="A73" s="20"/>
      <c r="B73" s="21"/>
      <c r="C73" s="21"/>
      <c r="D73" s="21"/>
      <c r="E73" s="25"/>
      <c r="F73" s="28"/>
      <c r="G73" s="33">
        <f>+Tabla2[[#This Row],[Viáticos]]*Tabla2[[#This Row],['# días]]</f>
        <v>0</v>
      </c>
      <c r="H73" s="25"/>
      <c r="I73" s="25"/>
      <c r="J73" s="25"/>
    </row>
    <row r="74" spans="1:10" s="27" customFormat="1" ht="102" customHeight="1" x14ac:dyDescent="0.25">
      <c r="A74" s="20"/>
      <c r="B74" s="21"/>
      <c r="C74" s="21"/>
      <c r="D74" s="21"/>
      <c r="E74" s="25"/>
      <c r="F74" s="28"/>
      <c r="G74" s="33">
        <f>+Tabla2[[#This Row],[Viáticos]]*Tabla2[[#This Row],['# días]]</f>
        <v>0</v>
      </c>
      <c r="H74" s="25"/>
      <c r="I74" s="25"/>
      <c r="J74" s="25"/>
    </row>
    <row r="75" spans="1:10" s="27" customFormat="1" ht="110.25" customHeight="1" x14ac:dyDescent="0.25">
      <c r="A75" s="20"/>
      <c r="B75" s="21"/>
      <c r="C75" s="21"/>
      <c r="D75" s="21"/>
      <c r="E75" s="25"/>
      <c r="F75" s="28"/>
      <c r="G75" s="33">
        <f>+Tabla2[[#This Row],[Viáticos]]*Tabla2[[#This Row],['# días]]</f>
        <v>0</v>
      </c>
      <c r="H75" s="25"/>
      <c r="I75" s="25"/>
      <c r="J75" s="25"/>
    </row>
    <row r="76" spans="1:10" s="27" customFormat="1" ht="138" customHeight="1" x14ac:dyDescent="0.25">
      <c r="A76" s="20"/>
      <c r="B76" s="21"/>
      <c r="C76" s="21"/>
      <c r="D76" s="21"/>
      <c r="E76" s="25"/>
      <c r="F76" s="28"/>
      <c r="G76" s="33">
        <f>+Tabla2[[#This Row],[Viáticos]]*Tabla2[[#This Row],['# días]]</f>
        <v>0</v>
      </c>
      <c r="H76" s="25"/>
      <c r="I76" s="25"/>
      <c r="J76" s="25"/>
    </row>
    <row r="77" spans="1:10" s="27" customFormat="1" ht="100.5" customHeight="1" x14ac:dyDescent="0.25">
      <c r="A77" s="20"/>
      <c r="B77" s="21"/>
      <c r="C77" s="21"/>
      <c r="D77" s="21"/>
      <c r="E77" s="25"/>
      <c r="F77" s="28"/>
      <c r="G77" s="33">
        <f>+Tabla2[[#This Row],[Viáticos]]*Tabla2[[#This Row],['# días]]</f>
        <v>0</v>
      </c>
      <c r="H77" s="25"/>
      <c r="I77" s="25"/>
      <c r="J77" s="25"/>
    </row>
    <row r="78" spans="1:10" s="27" customFormat="1" ht="104.25" customHeight="1" x14ac:dyDescent="0.25">
      <c r="A78" s="20"/>
      <c r="B78" s="21"/>
      <c r="C78" s="21"/>
      <c r="D78" s="21"/>
      <c r="E78" s="25"/>
      <c r="F78" s="28"/>
      <c r="G78" s="33">
        <f>+Tabla2[[#This Row],[Viáticos]]*Tabla2[[#This Row],['# días]]</f>
        <v>0</v>
      </c>
      <c r="H78" s="25"/>
      <c r="I78" s="25"/>
      <c r="J78" s="25"/>
    </row>
    <row r="79" spans="1:10" s="27" customFormat="1" ht="102" customHeight="1" x14ac:dyDescent="0.25">
      <c r="A79" s="20"/>
      <c r="B79" s="21"/>
      <c r="C79" s="21"/>
      <c r="D79" s="21"/>
      <c r="E79" s="25"/>
      <c r="F79" s="28"/>
      <c r="G79" s="33">
        <f>+Tabla2[[#This Row],[Viáticos]]*Tabla2[[#This Row],['# días]]</f>
        <v>0</v>
      </c>
      <c r="H79" s="25"/>
      <c r="I79" s="25"/>
      <c r="J79" s="25"/>
    </row>
    <row r="80" spans="1:10" s="27" customFormat="1" ht="114" customHeight="1" x14ac:dyDescent="0.25">
      <c r="A80" s="20"/>
      <c r="B80" s="21"/>
      <c r="C80" s="21"/>
      <c r="D80" s="21"/>
      <c r="E80" s="25"/>
      <c r="F80" s="28"/>
      <c r="G80" s="33">
        <f>+Tabla2[[#This Row],[Viáticos]]*Tabla2[[#This Row],['# días]]</f>
        <v>0</v>
      </c>
      <c r="H80" s="25"/>
      <c r="I80" s="25"/>
      <c r="J80" s="25"/>
    </row>
    <row r="81" spans="1:10" s="27" customFormat="1" ht="138" customHeight="1" x14ac:dyDescent="0.25">
      <c r="A81" s="20"/>
      <c r="B81" s="21"/>
      <c r="C81" s="21"/>
      <c r="D81" s="21"/>
      <c r="E81" s="25"/>
      <c r="F81" s="28"/>
      <c r="G81" s="33">
        <f>+Tabla2[[#This Row],[Viáticos]]*Tabla2[[#This Row],['# días]]</f>
        <v>0</v>
      </c>
      <c r="H81" s="25"/>
      <c r="I81" s="25"/>
      <c r="J81" s="25"/>
    </row>
    <row r="82" spans="1:10" s="27" customFormat="1" ht="113.25" customHeight="1" x14ac:dyDescent="0.25">
      <c r="A82" s="20"/>
      <c r="B82" s="21"/>
      <c r="C82" s="21"/>
      <c r="D82" s="21"/>
      <c r="E82" s="25"/>
      <c r="F82" s="28"/>
      <c r="G82" s="33">
        <f>+Tabla2[[#This Row],[Viáticos]]*Tabla2[[#This Row],['# días]]</f>
        <v>0</v>
      </c>
      <c r="H82" s="25"/>
      <c r="I82" s="25"/>
      <c r="J82" s="25"/>
    </row>
    <row r="83" spans="1:10" s="27" customFormat="1" ht="114" customHeight="1" x14ac:dyDescent="0.25">
      <c r="A83" s="20"/>
      <c r="B83" s="21"/>
      <c r="C83" s="21"/>
      <c r="D83" s="21"/>
      <c r="E83" s="25"/>
      <c r="F83" s="28"/>
      <c r="G83" s="33">
        <f>+Tabla2[[#This Row],[Viáticos]]*Tabla2[[#This Row],['# días]]</f>
        <v>0</v>
      </c>
      <c r="H83" s="25"/>
      <c r="I83" s="25"/>
      <c r="J83" s="25"/>
    </row>
    <row r="84" spans="1:10" s="27" customFormat="1" ht="110.25" customHeight="1" x14ac:dyDescent="0.25">
      <c r="A84" s="20"/>
      <c r="B84" s="21"/>
      <c r="C84" s="21"/>
      <c r="D84" s="21"/>
      <c r="E84" s="25"/>
      <c r="F84" s="28"/>
      <c r="G84" s="33">
        <f>+Tabla2[[#This Row],[Viáticos]]*Tabla2[[#This Row],['# días]]</f>
        <v>0</v>
      </c>
      <c r="H84" s="25"/>
      <c r="I84" s="25"/>
      <c r="J84" s="25"/>
    </row>
    <row r="85" spans="1:10" s="27" customFormat="1" ht="110.25" customHeight="1" x14ac:dyDescent="0.25">
      <c r="A85" s="20" t="s">
        <v>42</v>
      </c>
      <c r="B85" s="21" t="s">
        <v>711</v>
      </c>
      <c r="C85" s="21" t="s">
        <v>712</v>
      </c>
      <c r="D85" s="21" t="s">
        <v>713</v>
      </c>
      <c r="E85" s="22">
        <v>171283</v>
      </c>
      <c r="F85" s="23">
        <v>4.5</v>
      </c>
      <c r="G85" s="46">
        <f t="shared" ref="G85:G103" si="7">E85*F85</f>
        <v>770773.5</v>
      </c>
      <c r="H85" s="25">
        <v>800000</v>
      </c>
      <c r="I85" s="25"/>
      <c r="J85" s="25"/>
    </row>
    <row r="86" spans="1:10" s="27" customFormat="1" ht="110.25" customHeight="1" x14ac:dyDescent="0.25">
      <c r="A86" s="20" t="s">
        <v>42</v>
      </c>
      <c r="B86" s="21" t="s">
        <v>711</v>
      </c>
      <c r="C86" s="21" t="s">
        <v>714</v>
      </c>
      <c r="D86" s="21" t="s">
        <v>713</v>
      </c>
      <c r="E86" s="25"/>
      <c r="F86" s="28"/>
      <c r="G86" s="33"/>
      <c r="H86" s="25"/>
      <c r="I86" s="25"/>
      <c r="J86" s="25"/>
    </row>
    <row r="87" spans="1:10" s="27" customFormat="1" ht="114" customHeight="1" x14ac:dyDescent="0.25">
      <c r="A87" s="20" t="s">
        <v>42</v>
      </c>
      <c r="B87" s="21" t="s">
        <v>711</v>
      </c>
      <c r="C87" s="21" t="s">
        <v>715</v>
      </c>
      <c r="D87" s="21" t="s">
        <v>713</v>
      </c>
      <c r="E87" s="25"/>
      <c r="F87" s="28"/>
      <c r="G87" s="33"/>
      <c r="H87" s="25"/>
      <c r="I87" s="25">
        <v>30000</v>
      </c>
      <c r="J87" s="25"/>
    </row>
    <row r="88" spans="1:10" s="27" customFormat="1" ht="117" customHeight="1" x14ac:dyDescent="0.25">
      <c r="A88" s="20" t="s">
        <v>42</v>
      </c>
      <c r="B88" s="21" t="s">
        <v>716</v>
      </c>
      <c r="C88" s="21" t="s">
        <v>717</v>
      </c>
      <c r="D88" s="21" t="s">
        <v>718</v>
      </c>
      <c r="E88" s="22">
        <v>171283</v>
      </c>
      <c r="F88" s="23">
        <v>4.5</v>
      </c>
      <c r="G88" s="46">
        <f t="shared" ref="G88" si="8">E88*F88</f>
        <v>770773.5</v>
      </c>
      <c r="H88" s="25"/>
      <c r="I88" s="25">
        <v>30000</v>
      </c>
      <c r="J88" s="25"/>
    </row>
    <row r="89" spans="1:10" s="27" customFormat="1" ht="105.75" customHeight="1" x14ac:dyDescent="0.25">
      <c r="A89" s="20" t="s">
        <v>42</v>
      </c>
      <c r="B89" s="21" t="s">
        <v>716</v>
      </c>
      <c r="C89" s="21" t="s">
        <v>719</v>
      </c>
      <c r="D89" s="21" t="s">
        <v>718</v>
      </c>
      <c r="E89" s="25"/>
      <c r="F89" s="28"/>
      <c r="G89" s="33">
        <f t="shared" si="7"/>
        <v>0</v>
      </c>
      <c r="H89" s="25"/>
      <c r="I89" s="25">
        <v>40000</v>
      </c>
      <c r="J89" s="25"/>
    </row>
    <row r="90" spans="1:10" s="27" customFormat="1" ht="105.75" customHeight="1" x14ac:dyDescent="0.25">
      <c r="A90" s="20" t="s">
        <v>42</v>
      </c>
      <c r="B90" s="21" t="s">
        <v>716</v>
      </c>
      <c r="C90" s="21" t="s">
        <v>720</v>
      </c>
      <c r="D90" s="21" t="s">
        <v>718</v>
      </c>
      <c r="E90" s="25"/>
      <c r="F90" s="28"/>
      <c r="G90" s="33">
        <f t="shared" si="7"/>
        <v>0</v>
      </c>
      <c r="H90" s="25"/>
      <c r="I90" s="25">
        <v>10000</v>
      </c>
      <c r="J90" s="25"/>
    </row>
    <row r="91" spans="1:10" s="27" customFormat="1" ht="105.75" customHeight="1" x14ac:dyDescent="0.25">
      <c r="A91" s="20" t="s">
        <v>42</v>
      </c>
      <c r="B91" s="21" t="s">
        <v>716</v>
      </c>
      <c r="C91" s="21" t="s">
        <v>721</v>
      </c>
      <c r="D91" s="21" t="s">
        <v>718</v>
      </c>
      <c r="E91" s="25"/>
      <c r="F91" s="28"/>
      <c r="G91" s="33">
        <f t="shared" si="7"/>
        <v>0</v>
      </c>
      <c r="H91" s="25"/>
      <c r="I91" s="25">
        <v>15000</v>
      </c>
      <c r="J91" s="25"/>
    </row>
    <row r="92" spans="1:10" s="27" customFormat="1" ht="106.5" customHeight="1" x14ac:dyDescent="0.25">
      <c r="A92" s="20" t="s">
        <v>42</v>
      </c>
      <c r="B92" s="21" t="s">
        <v>722</v>
      </c>
      <c r="C92" s="21" t="s">
        <v>723</v>
      </c>
      <c r="D92" s="21" t="s">
        <v>724</v>
      </c>
      <c r="E92" s="22">
        <v>228866</v>
      </c>
      <c r="F92" s="23">
        <v>4.5</v>
      </c>
      <c r="G92" s="46">
        <f t="shared" si="7"/>
        <v>1029897</v>
      </c>
      <c r="H92" s="25">
        <v>800000</v>
      </c>
      <c r="I92" s="25">
        <v>40000</v>
      </c>
      <c r="J92" s="25"/>
    </row>
    <row r="93" spans="1:10" s="27" customFormat="1" ht="55.5" customHeight="1" x14ac:dyDescent="0.25">
      <c r="A93" s="20" t="s">
        <v>42</v>
      </c>
      <c r="B93" s="21" t="s">
        <v>722</v>
      </c>
      <c r="C93" s="21" t="s">
        <v>725</v>
      </c>
      <c r="D93" s="21" t="s">
        <v>724</v>
      </c>
      <c r="E93" s="25"/>
      <c r="F93" s="28"/>
      <c r="G93" s="33">
        <f t="shared" si="7"/>
        <v>0</v>
      </c>
      <c r="H93" s="25"/>
      <c r="I93" s="25">
        <v>10000</v>
      </c>
      <c r="J93" s="25"/>
    </row>
    <row r="94" spans="1:10" s="27" customFormat="1" ht="55.5" customHeight="1" x14ac:dyDescent="0.25">
      <c r="A94" s="20" t="s">
        <v>42</v>
      </c>
      <c r="B94" s="21" t="s">
        <v>722</v>
      </c>
      <c r="C94" s="21" t="s">
        <v>726</v>
      </c>
      <c r="D94" s="21" t="s">
        <v>724</v>
      </c>
      <c r="E94" s="25"/>
      <c r="F94" s="28"/>
      <c r="G94" s="33">
        <f t="shared" si="7"/>
        <v>0</v>
      </c>
      <c r="H94" s="25"/>
      <c r="I94" s="25">
        <v>30000</v>
      </c>
      <c r="J94" s="25"/>
    </row>
    <row r="95" spans="1:10" s="27" customFormat="1" ht="55.5" customHeight="1" x14ac:dyDescent="0.25">
      <c r="A95" s="20" t="s">
        <v>42</v>
      </c>
      <c r="B95" s="21" t="s">
        <v>722</v>
      </c>
      <c r="C95" s="21" t="s">
        <v>727</v>
      </c>
      <c r="D95" s="21" t="s">
        <v>724</v>
      </c>
      <c r="E95" s="25"/>
      <c r="F95" s="28"/>
      <c r="G95" s="33">
        <f t="shared" si="7"/>
        <v>0</v>
      </c>
      <c r="H95" s="25"/>
      <c r="I95" s="25">
        <v>15000</v>
      </c>
      <c r="J95" s="25"/>
    </row>
    <row r="96" spans="1:10" s="27" customFormat="1" ht="55.5" customHeight="1" x14ac:dyDescent="0.25">
      <c r="A96" s="20" t="s">
        <v>42</v>
      </c>
      <c r="B96" s="21" t="s">
        <v>728</v>
      </c>
      <c r="C96" s="21" t="s">
        <v>729</v>
      </c>
      <c r="D96" s="21" t="s">
        <v>730</v>
      </c>
      <c r="E96" s="22">
        <v>171283</v>
      </c>
      <c r="F96" s="23">
        <v>4.5</v>
      </c>
      <c r="G96" s="46">
        <f t="shared" si="7"/>
        <v>770773.5</v>
      </c>
      <c r="H96" s="25">
        <v>800000</v>
      </c>
      <c r="I96" s="25">
        <v>10000</v>
      </c>
      <c r="J96" s="25"/>
    </row>
    <row r="97" spans="1:10" s="27" customFormat="1" ht="55.5" customHeight="1" x14ac:dyDescent="0.25">
      <c r="A97" s="20" t="s">
        <v>42</v>
      </c>
      <c r="B97" s="21" t="s">
        <v>728</v>
      </c>
      <c r="C97" s="21" t="s">
        <v>732</v>
      </c>
      <c r="D97" s="21" t="s">
        <v>730</v>
      </c>
      <c r="E97" s="25"/>
      <c r="F97" s="28"/>
      <c r="G97" s="33">
        <f t="shared" si="7"/>
        <v>0</v>
      </c>
      <c r="H97" s="25"/>
      <c r="I97" s="25">
        <v>10000</v>
      </c>
      <c r="J97" s="25"/>
    </row>
    <row r="98" spans="1:10" s="27" customFormat="1" ht="55.5" customHeight="1" x14ac:dyDescent="0.25">
      <c r="A98" s="20" t="s">
        <v>42</v>
      </c>
      <c r="B98" s="21" t="s">
        <v>733</v>
      </c>
      <c r="C98" s="21" t="s">
        <v>734</v>
      </c>
      <c r="D98" s="21" t="s">
        <v>735</v>
      </c>
      <c r="E98" s="22">
        <v>171283</v>
      </c>
      <c r="F98" s="23">
        <v>4.5</v>
      </c>
      <c r="G98" s="46">
        <f t="shared" si="7"/>
        <v>770773.5</v>
      </c>
      <c r="H98" s="25"/>
      <c r="I98" s="25">
        <v>60000</v>
      </c>
      <c r="J98" s="25"/>
    </row>
    <row r="99" spans="1:10" s="27" customFormat="1" ht="55.5" customHeight="1" x14ac:dyDescent="0.25">
      <c r="A99" s="20" t="s">
        <v>42</v>
      </c>
      <c r="B99" s="21" t="s">
        <v>736</v>
      </c>
      <c r="C99" s="21" t="s">
        <v>737</v>
      </c>
      <c r="D99" s="21" t="s">
        <v>738</v>
      </c>
      <c r="E99" s="22">
        <v>171283</v>
      </c>
      <c r="F99" s="23">
        <v>4.5</v>
      </c>
      <c r="G99" s="46">
        <f t="shared" si="7"/>
        <v>770773.5</v>
      </c>
      <c r="H99" s="25">
        <v>800000</v>
      </c>
      <c r="I99" s="25">
        <v>60000</v>
      </c>
      <c r="J99" s="25"/>
    </row>
    <row r="100" spans="1:10" s="27" customFormat="1" ht="94.5" customHeight="1" x14ac:dyDescent="0.25">
      <c r="A100" s="20" t="s">
        <v>42</v>
      </c>
      <c r="B100" s="21" t="s">
        <v>739</v>
      </c>
      <c r="C100" s="21" t="s">
        <v>740</v>
      </c>
      <c r="D100" s="21" t="s">
        <v>735</v>
      </c>
      <c r="E100" s="22">
        <v>171283</v>
      </c>
      <c r="F100" s="23">
        <v>4.5</v>
      </c>
      <c r="G100" s="46">
        <f t="shared" si="7"/>
        <v>770773.5</v>
      </c>
      <c r="H100" s="25">
        <v>800000</v>
      </c>
      <c r="I100" s="25">
        <v>50000</v>
      </c>
      <c r="J100" s="25"/>
    </row>
    <row r="101" spans="1:10" s="27" customFormat="1" ht="99" customHeight="1" x14ac:dyDescent="0.25">
      <c r="A101" s="20" t="s">
        <v>42</v>
      </c>
      <c r="B101" s="21" t="s">
        <v>789</v>
      </c>
      <c r="C101" s="21" t="s">
        <v>742</v>
      </c>
      <c r="D101" s="21" t="s">
        <v>743</v>
      </c>
      <c r="E101" s="22">
        <v>228866</v>
      </c>
      <c r="F101" s="23">
        <v>4.5</v>
      </c>
      <c r="G101" s="46">
        <f t="shared" si="7"/>
        <v>1029897</v>
      </c>
      <c r="H101" s="25">
        <v>800000</v>
      </c>
      <c r="I101" s="25"/>
      <c r="J101" s="25"/>
    </row>
    <row r="102" spans="1:10" s="27" customFormat="1" ht="60" x14ac:dyDescent="0.25">
      <c r="A102" s="20" t="s">
        <v>42</v>
      </c>
      <c r="B102" s="21" t="s">
        <v>744</v>
      </c>
      <c r="C102" s="21" t="s">
        <v>745</v>
      </c>
      <c r="D102" s="21" t="s">
        <v>746</v>
      </c>
      <c r="E102" s="22">
        <v>171283</v>
      </c>
      <c r="F102" s="23">
        <v>4.5</v>
      </c>
      <c r="G102" s="46">
        <f t="shared" si="7"/>
        <v>770773.5</v>
      </c>
      <c r="H102" s="25">
        <v>800000</v>
      </c>
      <c r="I102" s="25">
        <v>15000</v>
      </c>
      <c r="J102" s="25"/>
    </row>
    <row r="103" spans="1:10" ht="84.75" customHeight="1" x14ac:dyDescent="0.25">
      <c r="A103" s="20" t="s">
        <v>42</v>
      </c>
      <c r="B103" s="21" t="s">
        <v>744</v>
      </c>
      <c r="C103" s="21" t="s">
        <v>747</v>
      </c>
      <c r="D103" s="21" t="s">
        <v>746</v>
      </c>
      <c r="E103" s="25"/>
      <c r="F103" s="28"/>
      <c r="G103" s="33">
        <f t="shared" si="7"/>
        <v>0</v>
      </c>
      <c r="H103" s="25"/>
      <c r="I103" s="25">
        <v>15000</v>
      </c>
      <c r="J103" s="47"/>
    </row>
    <row r="104" spans="1:10" ht="46.5" customHeight="1" x14ac:dyDescent="0.25">
      <c r="A104" s="157"/>
      <c r="B104" s="158"/>
      <c r="C104" s="158"/>
      <c r="D104" s="158"/>
      <c r="E104" s="159"/>
      <c r="F104" s="160"/>
      <c r="G104" s="161">
        <f>SUBTOTAL(109,Tabla2[SUBTOTAL Viaticos])</f>
        <v>45893843.5</v>
      </c>
      <c r="H104" s="159"/>
      <c r="I104" s="159"/>
      <c r="J104" s="159"/>
    </row>
  </sheetData>
  <dataValidations count="1">
    <dataValidation type="list" allowBlank="1" showInputMessage="1" showErrorMessage="1" sqref="A2:A103" xr:uid="{00000000-0002-0000-0400-000000000000}">
      <formula1>metas</formula1>
    </dataValidation>
  </dataValidations>
  <pageMargins left="0.7" right="0.7" top="0.75" bottom="0.75" header="0.3" footer="0.3"/>
  <pageSetup scale="3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PLAN DE ADQUISICIONES 2021</vt:lpstr>
      <vt:lpstr>Reservas presupuestales</vt:lpstr>
      <vt:lpstr>Metas cuatrenio</vt:lpstr>
      <vt:lpstr>Hoja1</vt:lpstr>
      <vt:lpstr>COMISIONES</vt:lpstr>
      <vt:lpstr>'Metas cuatrenio'!_Toc16493524</vt:lpstr>
      <vt:lpstr>COMISIONES!Área_de_impresión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ROBERT TORRES VELANDIA</cp:lastModifiedBy>
  <cp:revision/>
  <dcterms:created xsi:type="dcterms:W3CDTF">2020-12-16T22:42:20Z</dcterms:created>
  <dcterms:modified xsi:type="dcterms:W3CDTF">2022-02-01T23:14:31Z</dcterms:modified>
  <cp:category/>
  <cp:contentStatus/>
</cp:coreProperties>
</file>