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INCI\Compartida\SIG\Procesos Estrategicos\Direccionamiento Estrategico\Registros\Plan de Adquisiciones\Vigente\"/>
    </mc:Choice>
  </mc:AlternateContent>
  <bookViews>
    <workbookView xWindow="0" yWindow="0" windowWidth="24000" windowHeight="8835" activeTab="1"/>
  </bookViews>
  <sheets>
    <sheet name="Ejecución" sheetId="14" r:id="rId1"/>
    <sheet name="Final OAP" sheetId="6" r:id="rId2"/>
    <sheet name="F. EVENTOS " sheetId="9" state="hidden" r:id="rId3"/>
    <sheet name="EVENTOS" sheetId="8" state="hidden" r:id="rId4"/>
    <sheet name="COMISIONES Y VIAJES" sheetId="5" state="hidden" r:id="rId5"/>
    <sheet name="Desagregació x Producto" sheetId="11" state="hidden" r:id="rId6"/>
  </sheets>
  <externalReferences>
    <externalReference r:id="rId7"/>
    <externalReference r:id="rId8"/>
    <externalReference r:id="rId9"/>
    <externalReference r:id="rId10"/>
  </externalReferences>
  <definedNames>
    <definedName name="_xlnm._FilterDatabase" localSheetId="4" hidden="1">'COMISIONES Y VIAJES'!$A$5:$S$97</definedName>
    <definedName name="_xlnm._FilterDatabase" localSheetId="0" hidden="1">Ejecución!$A$7:$AG$183</definedName>
    <definedName name="_xlnm._FilterDatabase" localSheetId="3" hidden="1">EVENTOS!$A$5:$R$16</definedName>
    <definedName name="_xlnm._FilterDatabase" localSheetId="2" hidden="1">'F. EVENTOS '!$A$5:$R$17</definedName>
    <definedName name="_xlnm._FilterDatabase" localSheetId="1" hidden="1">'Final OAP'!$A$7:$AT$183</definedName>
    <definedName name="_xlnm.Print_Area" localSheetId="0">Ejecución!$A$3:$AD$183</definedName>
    <definedName name="_xlnm.Print_Area" localSheetId="1">'Final OAP'!$A$3:$AT$183</definedName>
    <definedName name="as" localSheetId="0">#REF!</definedName>
    <definedName name="as" localSheetId="2">#REF!</definedName>
    <definedName name="as">#REF!</definedName>
    <definedName name="asad" localSheetId="3">'[1]Listas PE'!$AA$2:$AA$162</definedName>
    <definedName name="asad" localSheetId="2">'[1]Listas PE'!$AA$2:$AA$162</definedName>
    <definedName name="asad">'[1]Listas PE'!$AA$2:$AA$162</definedName>
    <definedName name="CODSUB" localSheetId="0">#REF!</definedName>
    <definedName name="CODSUB" localSheetId="3">'[2]PAA 2018'!#REF!</definedName>
    <definedName name="CODSUB" localSheetId="2">'[2]PAA 2018'!#REF!</definedName>
    <definedName name="CODSUB" localSheetId="1">#REF!</definedName>
    <definedName name="CODSUB">#REF!</definedName>
    <definedName name="d">[3]Hoja2!$E$2:$E$18</definedName>
    <definedName name="dfdffd" localSheetId="0">#REF!</definedName>
    <definedName name="dfdffd">#REF!</definedName>
    <definedName name="dfdjuhgb" localSheetId="0">#REF!</definedName>
    <definedName name="dfdjuhgb">#REF!</definedName>
    <definedName name="DFSSDF" localSheetId="0">#REF!</definedName>
    <definedName name="DFSSDF" localSheetId="2">#REF!</definedName>
    <definedName name="DFSSDF">#REF!</definedName>
    <definedName name="DIMENSIÓN" localSheetId="0">#REF!</definedName>
    <definedName name="DIMENSIÓN" localSheetId="3">[2]LISTAS!$I$2:$I$8</definedName>
    <definedName name="DIMENSIÓN" localSheetId="2">[2]LISTAS!$I$2:$I$8</definedName>
    <definedName name="DIMENSIÓN" localSheetId="1">#REF!</definedName>
    <definedName name="DIMENSIÓN">#REF!</definedName>
    <definedName name="ds" localSheetId="0">#REF!</definedName>
    <definedName name="ds">#REF!</definedName>
    <definedName name="dsfg" localSheetId="0">#REF!</definedName>
    <definedName name="dsfg" localSheetId="2">#REF!</definedName>
    <definedName name="dsfg">#REF!</definedName>
    <definedName name="DSFS" localSheetId="0">#REF!</definedName>
    <definedName name="DSFS" localSheetId="2">#REF!</definedName>
    <definedName name="DSFS">#REF!</definedName>
    <definedName name="dss" localSheetId="0">#REF!</definedName>
    <definedName name="dss">#REF!</definedName>
    <definedName name="dssds" comment="Esta es la lista de regiones" localSheetId="0">#REF!</definedName>
    <definedName name="dssds" comment="Esta es la lista de regiones">#REF!</definedName>
    <definedName name="ESTRATEGIAS_PND" localSheetId="0">#REF!</definedName>
    <definedName name="ESTRATEGIAS_PND" localSheetId="3">'[2]Listas PE'!$O$2:$O$7</definedName>
    <definedName name="ESTRATEGIAS_PND" localSheetId="2">'[2]Listas PE'!$O$2:$O$7</definedName>
    <definedName name="ESTRATEGIAS_PND" localSheetId="1">#REF!</definedName>
    <definedName name="ESTRATEGIAS_PND">#REF!</definedName>
    <definedName name="fdf" localSheetId="0">#REF!</definedName>
    <definedName name="fdf">#REF!</definedName>
    <definedName name="fdgf" localSheetId="0">#REF!</definedName>
    <definedName name="fdgf">#REF!</definedName>
    <definedName name="FG">[3]Hoja2!$A$2:$A$15</definedName>
    <definedName name="GASTO" localSheetId="0">#REF!</definedName>
    <definedName name="GASTO" localSheetId="2">#REF!</definedName>
    <definedName name="GASTO" localSheetId="1">#REF!</definedName>
    <definedName name="GASTO">#REF!</definedName>
    <definedName name="ggfdh" localSheetId="0">#REF!</definedName>
    <definedName name="ggfdh">#REF!</definedName>
    <definedName name="hfgfhg" localSheetId="0">#REF!</definedName>
    <definedName name="hfgfhg">#REF!</definedName>
    <definedName name="ILK" localSheetId="0">#REF!</definedName>
    <definedName name="ILK">#REF!</definedName>
    <definedName name="META" localSheetId="4">#REF!</definedName>
    <definedName name="META" localSheetId="0">#REF!</definedName>
    <definedName name="META" localSheetId="3">[2]LISTAS!$A$2:$A$34</definedName>
    <definedName name="META" localSheetId="2">[2]LISTAS!$A$2:$A$34</definedName>
    <definedName name="META" localSheetId="1">#REF!</definedName>
    <definedName name="META">#REF!</definedName>
    <definedName name="MODALIDAD" localSheetId="0">#REF!</definedName>
    <definedName name="MODALIDAD" localSheetId="2">#REF!</definedName>
    <definedName name="MODALIDAD" localSheetId="1">#REF!</definedName>
    <definedName name="MODALIDAD">#REF!</definedName>
    <definedName name="PROCESO" localSheetId="4">#REF!</definedName>
    <definedName name="PROCESO" localSheetId="0">#REF!</definedName>
    <definedName name="PROCESO" localSheetId="3">[2]LISTAS!$B$2:$B$17</definedName>
    <definedName name="PROCESO" localSheetId="2">[2]LISTAS!$B$2:$B$17</definedName>
    <definedName name="PROCESO" localSheetId="1">#REF!</definedName>
    <definedName name="PROCESO">#REF!</definedName>
    <definedName name="PROCESOS" localSheetId="0">#REF!</definedName>
    <definedName name="PROCESOS" localSheetId="3">'[2]Listas PE'!$K$2:$K$20</definedName>
    <definedName name="PROCESOS" localSheetId="2">'[2]Listas PE'!$K$2:$K$20</definedName>
    <definedName name="PROCESOS" localSheetId="1">#REF!</definedName>
    <definedName name="PROCESOS">#REF!</definedName>
    <definedName name="PROGRAMAS_MEN" localSheetId="0">#REF!</definedName>
    <definedName name="PROGRAMAS_MEN" localSheetId="3">'[2]Listas PE'!$N$2:$N$12</definedName>
    <definedName name="PROGRAMAS_MEN" localSheetId="2">'[2]Listas PE'!$N$2:$N$12</definedName>
    <definedName name="PROGRAMAS_MEN" localSheetId="1">#REF!</definedName>
    <definedName name="PROGRAMAS_MEN">#REF!</definedName>
    <definedName name="PROYECTO" localSheetId="4">#REF!</definedName>
    <definedName name="PROYECTO" localSheetId="0">#REF!</definedName>
    <definedName name="PROYECTO" localSheetId="3">[2]LISTAS!$C$2:$C$36</definedName>
    <definedName name="PROYECTO" localSheetId="2">[2]LISTAS!$C$2:$C$36</definedName>
    <definedName name="PROYECTO" localSheetId="1">#REF!</definedName>
    <definedName name="PROYECTO">#REF!</definedName>
    <definedName name="REGIÓN" localSheetId="0">#REF!</definedName>
    <definedName name="REGIÓN" localSheetId="3">[2]LISTAS!$D$2:$D$9</definedName>
    <definedName name="REGIÓN" localSheetId="2">[2]LISTAS!$D$2:$D$9</definedName>
    <definedName name="REGIÓN" localSheetId="1">#REF!</definedName>
    <definedName name="REGIÓN">#REF!</definedName>
    <definedName name="REGIONES" comment="Esta es la lista de regiones" localSheetId="0">#REF!</definedName>
    <definedName name="REGIONES" comment="Esta es la lista de regiones" localSheetId="3">'[2]Listas PE'!$A$2:$A$8</definedName>
    <definedName name="REGIONES" comment="Esta es la lista de regiones" localSheetId="2">'[2]Listas PE'!$A$2:$A$8</definedName>
    <definedName name="REGIONES" comment="Esta es la lista de regiones" localSheetId="1">#REF!</definedName>
    <definedName name="REGIONES" comment="Esta es la lista de regiones">#REF!</definedName>
    <definedName name="RESPUESTAS" localSheetId="0">#REF!</definedName>
    <definedName name="RESPUESTAS" localSheetId="3">'[2]Listas PE'!$L$2:$L$4</definedName>
    <definedName name="RESPUESTAS" localSheetId="2">'[2]Listas PE'!$L$2:$L$4</definedName>
    <definedName name="RESPUESTAS" localSheetId="1">#REF!</definedName>
    <definedName name="RESPUESTAS">#REF!</definedName>
    <definedName name="s">[3]Hoja2!$A$2:$A$15</definedName>
    <definedName name="sd" localSheetId="0">#REF!</definedName>
    <definedName name="sd">#REF!</definedName>
    <definedName name="SERVIDOR" localSheetId="0">#REF!</definedName>
    <definedName name="SERVIDOR" localSheetId="3">[2]LISTAS!$E$2:$E$72</definedName>
    <definedName name="SERVIDOR" localSheetId="2">[2]LISTAS!$E$2:$E$72</definedName>
    <definedName name="SERVIDOR" localSheetId="1">#REF!</definedName>
    <definedName name="SERVIDOR">#REF!</definedName>
    <definedName name="SFDS" comment="Esta es la lista de regiones" localSheetId="0">#REF!</definedName>
    <definedName name="SFDS" comment="Esta es la lista de regiones" localSheetId="2">#REF!</definedName>
    <definedName name="SFDS" comment="Esta es la lista de regiones">#REF!</definedName>
    <definedName name="sss" localSheetId="0">#REF!</definedName>
    <definedName name="sss">#REF!</definedName>
    <definedName name="SUPERVISOR" localSheetId="0">#REF!</definedName>
    <definedName name="SUPERVISOR" localSheetId="2">#REF!</definedName>
    <definedName name="SUPERVISOR" localSheetId="1">#REF!</definedName>
    <definedName name="SUPERVISOR">#REF!</definedName>
    <definedName name="sw" localSheetId="0">#REF!</definedName>
    <definedName name="sw" localSheetId="2">#REF!</definedName>
    <definedName name="sw" localSheetId="1">#REF!</definedName>
    <definedName name="sw">#REF!</definedName>
    <definedName name="V">[3]Hoja2!$A$2:$A$15</definedName>
    <definedName name="VIÁTICOS" localSheetId="0">#REF!</definedName>
    <definedName name="VIÁTICOS" localSheetId="3">[2]LISTAS!$G$2:$G$8</definedName>
    <definedName name="VIÁTICOS" localSheetId="2">[2]LISTAS!$G$2:$G$8</definedName>
    <definedName name="VIÁTICOS" localSheetId="1">#REF!</definedName>
    <definedName name="VIÁTICOS">#REF!</definedName>
    <definedName name="VV" localSheetId="0">#REF!</definedName>
    <definedName name="VV" localSheetId="2">#REF!</definedName>
    <definedName name="VV">#REF!</definedName>
    <definedName name="x" localSheetId="0">#REF!</definedName>
    <definedName name="x" localSheetId="2">#REF!</definedName>
    <definedName name="x" localSheetId="1">#REF!</definedName>
    <definedName name="x">#REF!</definedName>
    <definedName name="z" localSheetId="0">#REF!</definedName>
    <definedName name="z" localSheetId="2">#REF!</definedName>
    <definedName name="z" localSheetId="1">#REF!</definedName>
    <definedName name="z">#REF!</definedName>
    <definedName name="zsz" localSheetId="0">#REF!</definedName>
    <definedName name="zs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2" i="6" l="1"/>
  <c r="L63" i="14" l="1"/>
  <c r="L68" i="14"/>
  <c r="Y138" i="14" l="1"/>
  <c r="N138" i="14"/>
  <c r="X117" i="14" l="1"/>
  <c r="X116" i="14"/>
  <c r="AA121" i="14"/>
  <c r="AA120" i="14"/>
  <c r="V132" i="14" l="1"/>
  <c r="L132" i="14"/>
  <c r="AA39" i="14" l="1"/>
  <c r="AA38" i="14"/>
  <c r="Z80" i="14"/>
  <c r="X50" i="14"/>
  <c r="AA36" i="14"/>
  <c r="X47" i="14"/>
  <c r="AD34" i="14"/>
  <c r="X46" i="14"/>
  <c r="X48" i="14"/>
  <c r="X68" i="14"/>
  <c r="X60" i="14"/>
  <c r="X70" i="14"/>
  <c r="X61" i="14"/>
  <c r="X49" i="14"/>
  <c r="X82" i="14"/>
  <c r="V82" i="14"/>
  <c r="AA45" i="14"/>
  <c r="X45" i="14"/>
  <c r="X69" i="14"/>
  <c r="X62" i="14"/>
  <c r="X77" i="14"/>
  <c r="V65" i="14"/>
  <c r="Y39" i="14"/>
  <c r="Y38" i="14"/>
  <c r="L65" i="14"/>
  <c r="AG191" i="14"/>
  <c r="AA11" i="14"/>
  <c r="AA16" i="14"/>
  <c r="X32" i="14"/>
  <c r="X30" i="14"/>
  <c r="AA13" i="14"/>
  <c r="X31" i="14"/>
  <c r="AA22" i="14"/>
  <c r="AA12" i="14"/>
  <c r="AA18" i="14"/>
  <c r="X33" i="14"/>
  <c r="AA15" i="14"/>
  <c r="Y15" i="14"/>
  <c r="X176" i="14"/>
  <c r="AA171" i="14"/>
  <c r="X128" i="14"/>
  <c r="AA131" i="14"/>
  <c r="X162" i="14"/>
  <c r="X143" i="14"/>
  <c r="X156" i="14"/>
  <c r="V155" i="14"/>
  <c r="X155" i="14"/>
  <c r="AA149" i="14"/>
  <c r="AA157" i="14"/>
  <c r="X157" i="14"/>
  <c r="AA147" i="14"/>
  <c r="AA148" i="14"/>
  <c r="Y146" i="14"/>
  <c r="V143" i="14"/>
  <c r="Y157" i="14"/>
  <c r="V157" i="14"/>
  <c r="L129" i="14"/>
  <c r="V129" i="14"/>
  <c r="N157" i="14"/>
  <c r="U68" i="6" l="1"/>
  <c r="L155" i="14" l="1"/>
  <c r="L157" i="14"/>
  <c r="L82" i="14" l="1"/>
  <c r="X82" i="6" l="1"/>
  <c r="V32" i="6"/>
  <c r="V162" i="14" l="1"/>
  <c r="V156" i="14"/>
  <c r="L156" i="14"/>
  <c r="L162" i="14"/>
  <c r="L143" i="14"/>
  <c r="V90" i="6" l="1"/>
  <c r="V89" i="6"/>
  <c r="V88" i="6"/>
  <c r="V25" i="6"/>
  <c r="V23" i="6"/>
  <c r="S63" i="6"/>
  <c r="R63" i="6"/>
  <c r="V51" i="6"/>
  <c r="P63" i="6"/>
  <c r="N159" i="14" l="1"/>
  <c r="N9" i="14"/>
  <c r="L73" i="14"/>
  <c r="N64" i="14"/>
  <c r="L64" i="14"/>
  <c r="L79" i="14"/>
  <c r="AA88" i="14" l="1"/>
  <c r="AA90" i="14"/>
  <c r="AA44" i="14"/>
  <c r="AA42" i="14"/>
  <c r="AA43" i="14"/>
  <c r="AA75" i="14"/>
  <c r="X64" i="14"/>
  <c r="X71" i="14"/>
  <c r="X74" i="14"/>
  <c r="X34" i="14"/>
  <c r="N39" i="14" l="1"/>
  <c r="N38" i="14"/>
  <c r="N15" i="14"/>
  <c r="AE11" i="14" l="1"/>
  <c r="AE15" i="14"/>
  <c r="AA17" i="14"/>
  <c r="AG18" i="14"/>
  <c r="AA94" i="14" l="1"/>
  <c r="AA115" i="14"/>
  <c r="AA110" i="14"/>
  <c r="AA112" i="14"/>
  <c r="AA111" i="14"/>
  <c r="AA99" i="14"/>
  <c r="AA98" i="14"/>
  <c r="X113" i="14"/>
  <c r="X105" i="14"/>
  <c r="X109" i="14"/>
  <c r="X122" i="14"/>
  <c r="X123" i="14"/>
  <c r="AA153" i="14" l="1"/>
  <c r="AA165" i="14"/>
  <c r="AA138" i="14"/>
  <c r="X163" i="14"/>
  <c r="X175" i="14"/>
  <c r="X129" i="14"/>
  <c r="X132" i="14"/>
  <c r="R65" i="6" l="1"/>
  <c r="N17" i="14"/>
  <c r="N26" i="14"/>
  <c r="Y158" i="14"/>
  <c r="N158" i="14"/>
  <c r="S158" i="6" l="1"/>
  <c r="Y17" i="14" l="1"/>
  <c r="AE16" i="14" s="1"/>
  <c r="AF16" i="14" l="1"/>
  <c r="AF18" i="14" s="1"/>
  <c r="Y18" i="14"/>
  <c r="N29" i="14"/>
  <c r="V63" i="14" l="1"/>
  <c r="Y88" i="14"/>
  <c r="N88" i="14"/>
  <c r="Y149" i="14"/>
  <c r="Y179" i="14"/>
  <c r="M178" i="14"/>
  <c r="O178" i="14"/>
  <c r="N179" i="14" l="1"/>
  <c r="Z139" i="14" l="1"/>
  <c r="H139" i="14"/>
  <c r="AC139" i="14" s="1"/>
  <c r="M139" i="14"/>
  <c r="I139" i="14" l="1"/>
  <c r="W139" i="14"/>
  <c r="O139" i="14"/>
  <c r="Q139" i="14"/>
  <c r="X138" i="6" l="1"/>
  <c r="V138" i="6"/>
  <c r="AS139" i="6"/>
  <c r="AR139" i="6"/>
  <c r="AQ139" i="6"/>
  <c r="AO139" i="6"/>
  <c r="AM139" i="6"/>
  <c r="AK139" i="6"/>
  <c r="Y139" i="6"/>
  <c r="X139" i="6"/>
  <c r="AA139" i="6" l="1"/>
  <c r="AS178" i="6" l="1"/>
  <c r="AR178" i="6"/>
  <c r="AQ178" i="6"/>
  <c r="AO178" i="6"/>
  <c r="AM178" i="6"/>
  <c r="AK178" i="6"/>
  <c r="AC178" i="14"/>
  <c r="AP178" i="6" s="1"/>
  <c r="Z178" i="14"/>
  <c r="AN178" i="6" s="1"/>
  <c r="W178" i="14"/>
  <c r="AL178" i="6" s="1"/>
  <c r="AA178" i="6" l="1"/>
  <c r="Y179" i="6" l="1"/>
  <c r="AC80" i="14" l="1"/>
  <c r="W80" i="14"/>
  <c r="Q80" i="14"/>
  <c r="O80" i="14"/>
  <c r="M80" i="14"/>
  <c r="I80" i="14"/>
  <c r="V72" i="6"/>
  <c r="X80" i="6"/>
  <c r="AS80" i="6"/>
  <c r="AR80" i="6"/>
  <c r="AQ80" i="6"/>
  <c r="AO80" i="6"/>
  <c r="AM80" i="6"/>
  <c r="AK80" i="6"/>
  <c r="Y80" i="6"/>
  <c r="N80" i="6"/>
  <c r="AA80" i="6" l="1"/>
  <c r="U66" i="6" l="1"/>
  <c r="AA146" i="14" l="1"/>
  <c r="X144" i="14"/>
  <c r="V144" i="14"/>
  <c r="L175" i="14"/>
  <c r="N146" i="14"/>
  <c r="N149" i="14" l="1"/>
  <c r="V123" i="14" l="1"/>
  <c r="Y94" i="14"/>
  <c r="N123" i="14"/>
  <c r="L123" i="14"/>
  <c r="Y23" i="6" l="1"/>
  <c r="AA23" i="6" s="1"/>
  <c r="Y12" i="6"/>
  <c r="AA12" i="6" s="1"/>
  <c r="S12" i="6"/>
  <c r="V158" i="14" l="1"/>
  <c r="L158" i="14"/>
  <c r="X155" i="6" l="1"/>
  <c r="S149" i="6"/>
  <c r="X149" i="6"/>
  <c r="V125" i="6"/>
  <c r="Y157" i="6"/>
  <c r="Y155" i="6"/>
  <c r="V176" i="6"/>
  <c r="Y177" i="6"/>
  <c r="S138" i="6"/>
  <c r="Y138" i="6" s="1"/>
  <c r="X158" i="6"/>
  <c r="X153" i="6"/>
  <c r="X172" i="6"/>
  <c r="U173" i="6"/>
  <c r="S123" i="6" l="1"/>
  <c r="V106" i="6"/>
  <c r="N121" i="6"/>
  <c r="Y121" i="6" s="1"/>
  <c r="U103" i="6"/>
  <c r="U119" i="6"/>
  <c r="X118" i="6"/>
  <c r="R123" i="6"/>
  <c r="V133" i="6"/>
  <c r="Y133" i="6" s="1"/>
  <c r="V132" i="6"/>
  <c r="Y171" i="6"/>
  <c r="Y146" i="6"/>
  <c r="L103" i="14" l="1"/>
  <c r="N106" i="14"/>
  <c r="N112" i="14"/>
  <c r="N111" i="14"/>
  <c r="N98" i="14"/>
  <c r="L113" i="14"/>
  <c r="N97" i="14"/>
  <c r="N176" i="14" l="1"/>
  <c r="L176" i="14"/>
  <c r="N18" i="14" l="1"/>
  <c r="Y153" i="14" l="1"/>
  <c r="V64" i="14" l="1"/>
  <c r="H104" i="14" l="1"/>
  <c r="AC104" i="14" s="1"/>
  <c r="G104" i="14"/>
  <c r="Z104" i="14" s="1"/>
  <c r="F104" i="14"/>
  <c r="M104" i="14" s="1"/>
  <c r="X104" i="6"/>
  <c r="AA104" i="6" s="1"/>
  <c r="AS104" i="6"/>
  <c r="AR104" i="6"/>
  <c r="AO104" i="6"/>
  <c r="AM104" i="6"/>
  <c r="N104" i="6"/>
  <c r="W104" i="14" l="1"/>
  <c r="I104" i="14"/>
  <c r="O104" i="14"/>
  <c r="Q104" i="14"/>
  <c r="X147" i="14" l="1"/>
  <c r="V74" i="14" l="1"/>
  <c r="V71" i="14"/>
  <c r="L144" i="14"/>
  <c r="X114" i="14" l="1"/>
  <c r="X150" i="14"/>
  <c r="X165" i="14"/>
  <c r="V181" i="14" l="1"/>
  <c r="L74" i="14" l="1"/>
  <c r="V68" i="14"/>
  <c r="Y66" i="6" l="1"/>
  <c r="Z6" i="6"/>
  <c r="Y8" i="6"/>
  <c r="AA8" i="6" s="1"/>
  <c r="Y21" i="6"/>
  <c r="AA28" i="6"/>
  <c r="AA27" i="6"/>
  <c r="V29" i="6" l="1"/>
  <c r="Y29" i="6" s="1"/>
  <c r="AA29" i="6" s="1"/>
  <c r="P52" i="6"/>
  <c r="X66" i="6"/>
  <c r="AS67" i="6"/>
  <c r="AR67" i="6"/>
  <c r="AQ67" i="6"/>
  <c r="AO67" i="6"/>
  <c r="AM67" i="6"/>
  <c r="AK67" i="6"/>
  <c r="H67" i="14"/>
  <c r="AC67" i="14" s="1"/>
  <c r="G67" i="14"/>
  <c r="Z67" i="14" s="1"/>
  <c r="F67" i="14"/>
  <c r="W67" i="14" s="1"/>
  <c r="X67" i="6"/>
  <c r="Y67" i="6"/>
  <c r="N67" i="6"/>
  <c r="M67" i="14" l="1"/>
  <c r="Q67" i="14"/>
  <c r="I67" i="14"/>
  <c r="AA67" i="6"/>
  <c r="AK9" i="6"/>
  <c r="AM9" i="6"/>
  <c r="AO9" i="6"/>
  <c r="AK10" i="6"/>
  <c r="AM10" i="6"/>
  <c r="AO10" i="6"/>
  <c r="AK11" i="6"/>
  <c r="AM11" i="6"/>
  <c r="AO11" i="6"/>
  <c r="AK12" i="6"/>
  <c r="AM12" i="6"/>
  <c r="AO12" i="6"/>
  <c r="AK13" i="6"/>
  <c r="AM13" i="6"/>
  <c r="AO13" i="6"/>
  <c r="AK14" i="6"/>
  <c r="AM14" i="6"/>
  <c r="AO14" i="6"/>
  <c r="AK15" i="6"/>
  <c r="AM15" i="6"/>
  <c r="AO15" i="6"/>
  <c r="AK16" i="6"/>
  <c r="AM16" i="6"/>
  <c r="AO16" i="6"/>
  <c r="AM17" i="6"/>
  <c r="AO17" i="6"/>
  <c r="AK18" i="6"/>
  <c r="AM18" i="6"/>
  <c r="AO18" i="6"/>
  <c r="AK19" i="6"/>
  <c r="AM19" i="6"/>
  <c r="AO19" i="6"/>
  <c r="AK20" i="6"/>
  <c r="AM20" i="6"/>
  <c r="AO20" i="6"/>
  <c r="AK21" i="6"/>
  <c r="AM21" i="6"/>
  <c r="AO21" i="6"/>
  <c r="AK22" i="6"/>
  <c r="AM22" i="6"/>
  <c r="AO22" i="6"/>
  <c r="AK23" i="6"/>
  <c r="AM23" i="6"/>
  <c r="AO23" i="6"/>
  <c r="AK24" i="6"/>
  <c r="AM24" i="6"/>
  <c r="AO24" i="6"/>
  <c r="AK25" i="6"/>
  <c r="AM25" i="6"/>
  <c r="AO25" i="6"/>
  <c r="AK26" i="6"/>
  <c r="AO26" i="6"/>
  <c r="AK27" i="6"/>
  <c r="AM27" i="6"/>
  <c r="AO27" i="6"/>
  <c r="AK28" i="6"/>
  <c r="AM28" i="6"/>
  <c r="AO28" i="6"/>
  <c r="AK29" i="6"/>
  <c r="AM29" i="6"/>
  <c r="AO29" i="6"/>
  <c r="AK30" i="6"/>
  <c r="AM30" i="6"/>
  <c r="AO30" i="6"/>
  <c r="AK31" i="6"/>
  <c r="AM31" i="6"/>
  <c r="AO31" i="6"/>
  <c r="AK32" i="6"/>
  <c r="AM32" i="6"/>
  <c r="AO32" i="6"/>
  <c r="AK33" i="6"/>
  <c r="AM33" i="6"/>
  <c r="AO33" i="6"/>
  <c r="AK34" i="6"/>
  <c r="AM34" i="6"/>
  <c r="AO34" i="6"/>
  <c r="AK35" i="6"/>
  <c r="AM35" i="6"/>
  <c r="AO35" i="6"/>
  <c r="AK36" i="6"/>
  <c r="AM36" i="6"/>
  <c r="AO36" i="6"/>
  <c r="AK37" i="6"/>
  <c r="AM37" i="6"/>
  <c r="AO37" i="6"/>
  <c r="AK38" i="6"/>
  <c r="AM38" i="6"/>
  <c r="AO38" i="6"/>
  <c r="AK39" i="6"/>
  <c r="AM39" i="6"/>
  <c r="AO39" i="6"/>
  <c r="AK40" i="6"/>
  <c r="AM40" i="6"/>
  <c r="AO40" i="6"/>
  <c r="AK41" i="6"/>
  <c r="AM41" i="6"/>
  <c r="AO41" i="6"/>
  <c r="AK42" i="6"/>
  <c r="AM42" i="6"/>
  <c r="AO42" i="6"/>
  <c r="AK43" i="6"/>
  <c r="AM43" i="6"/>
  <c r="AO43" i="6"/>
  <c r="AK44" i="6"/>
  <c r="AM44" i="6"/>
  <c r="AO44" i="6"/>
  <c r="AK45" i="6"/>
  <c r="AM45" i="6"/>
  <c r="AO45" i="6"/>
  <c r="AK46" i="6"/>
  <c r="AM46" i="6"/>
  <c r="AO46" i="6"/>
  <c r="AK47" i="6"/>
  <c r="AM47" i="6"/>
  <c r="AO47" i="6"/>
  <c r="AK48" i="6"/>
  <c r="AM48" i="6"/>
  <c r="AO48" i="6"/>
  <c r="AK49" i="6"/>
  <c r="AM49" i="6"/>
  <c r="AO49" i="6"/>
  <c r="AK50" i="6"/>
  <c r="AM50" i="6"/>
  <c r="AO50" i="6"/>
  <c r="AK51" i="6"/>
  <c r="AM51" i="6"/>
  <c r="AO51" i="6"/>
  <c r="AK52" i="6"/>
  <c r="AM52" i="6"/>
  <c r="AO52" i="6"/>
  <c r="AK53" i="6"/>
  <c r="AM53" i="6"/>
  <c r="AO53" i="6"/>
  <c r="AK54" i="6"/>
  <c r="AM54" i="6"/>
  <c r="AO54" i="6"/>
  <c r="AK55" i="6"/>
  <c r="AM55" i="6"/>
  <c r="AO55" i="6"/>
  <c r="AK56" i="6"/>
  <c r="AM56" i="6"/>
  <c r="AO56" i="6"/>
  <c r="AK57" i="6"/>
  <c r="AM57" i="6"/>
  <c r="AO57" i="6"/>
  <c r="AK58" i="6"/>
  <c r="AM58" i="6"/>
  <c r="AO58" i="6"/>
  <c r="AK59" i="6"/>
  <c r="AM59" i="6"/>
  <c r="AO59" i="6"/>
  <c r="AK60" i="6"/>
  <c r="AM60" i="6"/>
  <c r="AO60" i="6"/>
  <c r="AK61" i="6"/>
  <c r="AM61" i="6"/>
  <c r="AO61" i="6"/>
  <c r="AK62" i="6"/>
  <c r="AM62" i="6"/>
  <c r="AO62" i="6"/>
  <c r="AK63" i="6"/>
  <c r="AM63" i="6"/>
  <c r="AO63" i="6"/>
  <c r="AK64" i="6"/>
  <c r="AM64" i="6"/>
  <c r="AO64" i="6"/>
  <c r="AK65" i="6"/>
  <c r="AM65" i="6"/>
  <c r="AO65" i="6"/>
  <c r="AK66" i="6"/>
  <c r="AM66" i="6"/>
  <c r="AO66" i="6"/>
  <c r="AK68" i="6"/>
  <c r="AM68" i="6"/>
  <c r="AO68" i="6"/>
  <c r="AK69" i="6"/>
  <c r="AM69" i="6"/>
  <c r="AO69" i="6"/>
  <c r="AK70" i="6"/>
  <c r="AM70" i="6"/>
  <c r="AO70" i="6"/>
  <c r="AK71" i="6"/>
  <c r="AM71" i="6"/>
  <c r="AO71" i="6"/>
  <c r="AK72" i="6"/>
  <c r="AM72" i="6"/>
  <c r="AO72" i="6"/>
  <c r="AK73" i="6"/>
  <c r="AM73" i="6"/>
  <c r="AO73" i="6"/>
  <c r="AK74" i="6"/>
  <c r="AM74" i="6"/>
  <c r="AO74" i="6"/>
  <c r="AK75" i="6"/>
  <c r="AM75" i="6"/>
  <c r="AO75" i="6"/>
  <c r="AK76" i="6"/>
  <c r="AM76" i="6"/>
  <c r="AO76" i="6"/>
  <c r="AK77" i="6"/>
  <c r="AM77" i="6"/>
  <c r="AO77" i="6"/>
  <c r="AK78" i="6"/>
  <c r="AM78" i="6"/>
  <c r="AO78" i="6"/>
  <c r="AK79" i="6"/>
  <c r="AM79" i="6"/>
  <c r="AO79" i="6"/>
  <c r="AK81" i="6"/>
  <c r="AM81" i="6"/>
  <c r="AO81" i="6"/>
  <c r="AK82" i="6"/>
  <c r="AM82" i="6"/>
  <c r="AO82" i="6"/>
  <c r="AK83" i="6"/>
  <c r="AM83" i="6"/>
  <c r="AO83" i="6"/>
  <c r="AK84" i="6"/>
  <c r="AM84" i="6"/>
  <c r="AO84" i="6"/>
  <c r="AK85" i="6"/>
  <c r="AM85" i="6"/>
  <c r="AO85" i="6"/>
  <c r="AK86" i="6"/>
  <c r="AM86" i="6"/>
  <c r="AO86" i="6"/>
  <c r="AK87" i="6"/>
  <c r="AM87" i="6"/>
  <c r="AO87" i="6"/>
  <c r="AK88" i="6"/>
  <c r="AO88" i="6"/>
  <c r="AK89" i="6"/>
  <c r="AM89" i="6"/>
  <c r="AO89" i="6"/>
  <c r="AK90" i="6"/>
  <c r="AO90" i="6"/>
  <c r="AK91" i="6"/>
  <c r="AM91" i="6"/>
  <c r="AO91" i="6"/>
  <c r="AK92" i="6"/>
  <c r="AM92" i="6"/>
  <c r="AO92" i="6"/>
  <c r="AK93" i="6"/>
  <c r="AM93" i="6"/>
  <c r="AO93" i="6"/>
  <c r="AK94" i="6"/>
  <c r="AO94" i="6"/>
  <c r="AK95" i="6"/>
  <c r="AM95" i="6"/>
  <c r="AO95" i="6"/>
  <c r="AK96" i="6"/>
  <c r="AM96" i="6"/>
  <c r="AO96" i="6"/>
  <c r="AK97" i="6"/>
  <c r="AM97" i="6"/>
  <c r="AO97" i="6"/>
  <c r="AK98" i="6"/>
  <c r="AM98" i="6"/>
  <c r="AO98" i="6"/>
  <c r="AK99" i="6"/>
  <c r="AM99" i="6"/>
  <c r="AO99" i="6"/>
  <c r="AK100" i="6"/>
  <c r="AM100" i="6"/>
  <c r="AO100" i="6"/>
  <c r="AK101" i="6"/>
  <c r="AM101" i="6"/>
  <c r="AO101" i="6"/>
  <c r="AK102" i="6"/>
  <c r="AM102" i="6"/>
  <c r="AO102" i="6"/>
  <c r="AK103" i="6"/>
  <c r="AM103" i="6"/>
  <c r="AO103" i="6"/>
  <c r="AK105" i="6"/>
  <c r="AM105" i="6"/>
  <c r="AO105" i="6"/>
  <c r="AK106" i="6"/>
  <c r="AM106" i="6"/>
  <c r="AO106" i="6"/>
  <c r="AK107" i="6"/>
  <c r="AM107" i="6"/>
  <c r="AO107" i="6"/>
  <c r="AK108" i="6"/>
  <c r="AM108" i="6"/>
  <c r="AO108" i="6"/>
  <c r="AM109" i="6"/>
  <c r="AO109" i="6"/>
  <c r="AK110" i="6"/>
  <c r="AM110" i="6"/>
  <c r="AO110" i="6"/>
  <c r="AK111" i="6"/>
  <c r="AM111" i="6"/>
  <c r="AO111" i="6"/>
  <c r="AK112" i="6"/>
  <c r="AM112" i="6"/>
  <c r="AO112" i="6"/>
  <c r="AK113" i="6"/>
  <c r="AM113" i="6"/>
  <c r="AO113" i="6"/>
  <c r="AK114" i="6"/>
  <c r="AM114" i="6"/>
  <c r="AO114" i="6"/>
  <c r="AK115" i="6"/>
  <c r="AM115" i="6"/>
  <c r="AO115" i="6"/>
  <c r="AK116" i="6"/>
  <c r="AM116" i="6"/>
  <c r="AO116" i="6"/>
  <c r="AK117" i="6"/>
  <c r="AM117" i="6"/>
  <c r="AO117" i="6"/>
  <c r="AK118" i="6"/>
  <c r="AM118" i="6"/>
  <c r="AO118" i="6"/>
  <c r="AK119" i="6"/>
  <c r="AM119" i="6"/>
  <c r="AO119" i="6"/>
  <c r="AK120" i="6"/>
  <c r="AM120" i="6"/>
  <c r="AO120" i="6"/>
  <c r="AK121" i="6"/>
  <c r="AM121" i="6"/>
  <c r="AO121" i="6"/>
  <c r="AK122" i="6"/>
  <c r="AM122" i="6"/>
  <c r="AO122" i="6"/>
  <c r="AK123" i="6"/>
  <c r="AO123" i="6"/>
  <c r="AK124" i="6"/>
  <c r="AM124" i="6"/>
  <c r="AO124" i="6"/>
  <c r="AK125" i="6"/>
  <c r="AM125" i="6"/>
  <c r="AO125" i="6"/>
  <c r="AK126" i="6"/>
  <c r="AM126" i="6"/>
  <c r="AO126" i="6"/>
  <c r="AK127" i="6"/>
  <c r="AM127" i="6"/>
  <c r="AO127" i="6"/>
  <c r="AM128" i="6"/>
  <c r="AO128" i="6"/>
  <c r="AM129" i="6"/>
  <c r="AO129" i="6"/>
  <c r="AK130" i="6"/>
  <c r="AM130" i="6"/>
  <c r="AO130" i="6"/>
  <c r="AK131" i="6"/>
  <c r="AM131" i="6"/>
  <c r="AO131" i="6"/>
  <c r="AK132" i="6"/>
  <c r="AM132" i="6"/>
  <c r="AO132" i="6"/>
  <c r="AK133" i="6"/>
  <c r="AM133" i="6"/>
  <c r="AO133" i="6"/>
  <c r="AK134" i="6"/>
  <c r="AM134" i="6"/>
  <c r="AO134" i="6"/>
  <c r="AK135" i="6"/>
  <c r="AM135" i="6"/>
  <c r="AO135" i="6"/>
  <c r="AK136" i="6"/>
  <c r="AM136" i="6"/>
  <c r="AO136" i="6"/>
  <c r="AK137" i="6"/>
  <c r="AM137" i="6"/>
  <c r="AO137" i="6"/>
  <c r="AK138" i="6"/>
  <c r="AM138" i="6"/>
  <c r="AO138" i="6"/>
  <c r="AK140" i="6"/>
  <c r="AM140" i="6"/>
  <c r="AO140" i="6"/>
  <c r="AK141" i="6"/>
  <c r="AM141" i="6"/>
  <c r="AO141" i="6"/>
  <c r="AK142" i="6"/>
  <c r="AM142" i="6"/>
  <c r="AO142" i="6"/>
  <c r="AM143" i="6"/>
  <c r="AO143" i="6"/>
  <c r="AK144" i="6"/>
  <c r="AM144" i="6"/>
  <c r="AO144" i="6"/>
  <c r="AM145" i="6"/>
  <c r="AO145" i="6"/>
  <c r="AK146" i="6"/>
  <c r="AO146" i="6"/>
  <c r="AK147" i="6"/>
  <c r="AM147" i="6"/>
  <c r="AO147" i="6"/>
  <c r="AK148" i="6"/>
  <c r="AO148" i="6"/>
  <c r="AK149" i="6"/>
  <c r="AM149" i="6"/>
  <c r="AO149" i="6"/>
  <c r="AK150" i="6"/>
  <c r="AM150" i="6"/>
  <c r="AO150" i="6"/>
  <c r="AK151" i="6"/>
  <c r="AM151" i="6"/>
  <c r="AO151" i="6"/>
  <c r="AM152" i="6"/>
  <c r="AO152" i="6"/>
  <c r="AK153" i="6"/>
  <c r="AM153" i="6"/>
  <c r="AO153" i="6"/>
  <c r="AK154" i="6"/>
  <c r="AM154" i="6"/>
  <c r="AO154" i="6"/>
  <c r="AK155" i="6"/>
  <c r="AM155" i="6"/>
  <c r="AO155" i="6"/>
  <c r="AK156" i="6"/>
  <c r="AM156" i="6"/>
  <c r="AO156" i="6"/>
  <c r="AK157" i="6"/>
  <c r="AM157" i="6"/>
  <c r="AO157" i="6"/>
  <c r="AK158" i="6"/>
  <c r="AO158" i="6"/>
  <c r="AK159" i="6"/>
  <c r="AM159" i="6"/>
  <c r="AO159" i="6"/>
  <c r="AK160" i="6"/>
  <c r="AM160" i="6"/>
  <c r="AO160" i="6"/>
  <c r="AK161" i="6"/>
  <c r="AM161" i="6"/>
  <c r="AO161" i="6"/>
  <c r="AK162" i="6"/>
  <c r="AM162" i="6"/>
  <c r="AO162" i="6"/>
  <c r="AM163" i="6"/>
  <c r="AO163" i="6"/>
  <c r="AK164" i="6"/>
  <c r="AM164" i="6"/>
  <c r="AO164" i="6"/>
  <c r="AK165" i="6"/>
  <c r="AM165" i="6"/>
  <c r="AO165" i="6"/>
  <c r="AK166" i="6"/>
  <c r="AM166" i="6"/>
  <c r="AO166" i="6"/>
  <c r="AK167" i="6"/>
  <c r="AM167" i="6"/>
  <c r="AO167" i="6"/>
  <c r="AK168" i="6"/>
  <c r="AM168" i="6"/>
  <c r="AO168" i="6"/>
  <c r="AK169" i="6"/>
  <c r="AM169" i="6"/>
  <c r="AO169" i="6"/>
  <c r="AK170" i="6"/>
  <c r="AM170" i="6"/>
  <c r="AO170" i="6"/>
  <c r="AK171" i="6"/>
  <c r="AM171" i="6"/>
  <c r="AO171" i="6"/>
  <c r="AK172" i="6"/>
  <c r="AM172" i="6"/>
  <c r="AO172" i="6"/>
  <c r="AK173" i="6"/>
  <c r="AM173" i="6"/>
  <c r="AO173" i="6"/>
  <c r="AM174" i="6"/>
  <c r="AO174" i="6"/>
  <c r="AM175" i="6"/>
  <c r="AO175" i="6"/>
  <c r="AM176" i="6"/>
  <c r="AO176" i="6"/>
  <c r="AK177" i="6"/>
  <c r="AM177" i="6"/>
  <c r="AO177" i="6"/>
  <c r="AK179" i="6"/>
  <c r="AM179" i="6"/>
  <c r="AO179" i="6"/>
  <c r="AK180" i="6"/>
  <c r="AM180" i="6"/>
  <c r="AO180" i="6"/>
  <c r="AK181" i="6"/>
  <c r="AM181" i="6"/>
  <c r="AO181" i="6"/>
  <c r="AK182" i="6"/>
  <c r="AM182" i="6"/>
  <c r="AO182" i="6"/>
  <c r="AK183" i="6"/>
  <c r="AM183" i="6"/>
  <c r="AO183" i="6"/>
  <c r="AO8" i="6"/>
  <c r="AM8" i="6"/>
  <c r="AK8" i="6"/>
  <c r="AS9" i="6"/>
  <c r="AS10" i="6"/>
  <c r="AS11" i="6"/>
  <c r="AS12" i="6"/>
  <c r="AS13" i="6"/>
  <c r="AS14" i="6"/>
  <c r="AS15" i="6"/>
  <c r="AS16" i="6"/>
  <c r="AS17" i="6"/>
  <c r="AS18" i="6"/>
  <c r="AS19" i="6"/>
  <c r="AS20" i="6"/>
  <c r="AS21"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8" i="6"/>
  <c r="AS69" i="6"/>
  <c r="AS70" i="6"/>
  <c r="AS71" i="6"/>
  <c r="AS72" i="6"/>
  <c r="AS73" i="6"/>
  <c r="AS74" i="6"/>
  <c r="AS75" i="6"/>
  <c r="AS76" i="6"/>
  <c r="AS77" i="6"/>
  <c r="AS78" i="6"/>
  <c r="AS79" i="6"/>
  <c r="AS81" i="6"/>
  <c r="AS82" i="6"/>
  <c r="AS83" i="6"/>
  <c r="AS84" i="6"/>
  <c r="AS85" i="6"/>
  <c r="AS86" i="6"/>
  <c r="AS87" i="6"/>
  <c r="AS88" i="6"/>
  <c r="AS89" i="6"/>
  <c r="AS90" i="6"/>
  <c r="AS91" i="6"/>
  <c r="AS92" i="6"/>
  <c r="AS93" i="6"/>
  <c r="AS94" i="6"/>
  <c r="AS95" i="6"/>
  <c r="AS96" i="6"/>
  <c r="AS97" i="6"/>
  <c r="AS98" i="6"/>
  <c r="AS99" i="6"/>
  <c r="AS100" i="6"/>
  <c r="AS101" i="6"/>
  <c r="AS102" i="6"/>
  <c r="AS103" i="6"/>
  <c r="AS105" i="6"/>
  <c r="AS106" i="6"/>
  <c r="AS107" i="6"/>
  <c r="AS108" i="6"/>
  <c r="AS109" i="6"/>
  <c r="AS110" i="6"/>
  <c r="AS111" i="6"/>
  <c r="AS112" i="6"/>
  <c r="AS113" i="6"/>
  <c r="AS114" i="6"/>
  <c r="AS115" i="6"/>
  <c r="AS116" i="6"/>
  <c r="AS117" i="6"/>
  <c r="AS118" i="6"/>
  <c r="AS119" i="6"/>
  <c r="AS120" i="6"/>
  <c r="AS121" i="6"/>
  <c r="AS122" i="6"/>
  <c r="AS123" i="6"/>
  <c r="AS124" i="6"/>
  <c r="AS125" i="6"/>
  <c r="AS126" i="6"/>
  <c r="AS127" i="6"/>
  <c r="AS128" i="6"/>
  <c r="AS129" i="6"/>
  <c r="AS130" i="6"/>
  <c r="AS131" i="6"/>
  <c r="AS132" i="6"/>
  <c r="AS133" i="6"/>
  <c r="AS134" i="6"/>
  <c r="AS135" i="6"/>
  <c r="AS136" i="6"/>
  <c r="AS137" i="6"/>
  <c r="AS138" i="6"/>
  <c r="AS140" i="6"/>
  <c r="AS141" i="6"/>
  <c r="AS142" i="6"/>
  <c r="AS143" i="6"/>
  <c r="AS144" i="6"/>
  <c r="AS145" i="6"/>
  <c r="AS146" i="6"/>
  <c r="AS147" i="6"/>
  <c r="AS148" i="6"/>
  <c r="AS149" i="6"/>
  <c r="AS150" i="6"/>
  <c r="AS151" i="6"/>
  <c r="AS152" i="6"/>
  <c r="AS153" i="6"/>
  <c r="AS154" i="6"/>
  <c r="AS155" i="6"/>
  <c r="AS156" i="6"/>
  <c r="AS157" i="6"/>
  <c r="AS158" i="6"/>
  <c r="AS159" i="6"/>
  <c r="AS160" i="6"/>
  <c r="AS161" i="6"/>
  <c r="AS162" i="6"/>
  <c r="AS163" i="6"/>
  <c r="AS164" i="6"/>
  <c r="AS165" i="6"/>
  <c r="AS166" i="6"/>
  <c r="AS167" i="6"/>
  <c r="AS168" i="6"/>
  <c r="AS169" i="6"/>
  <c r="AS170" i="6"/>
  <c r="AS171" i="6"/>
  <c r="AS172" i="6"/>
  <c r="AS173" i="6"/>
  <c r="AS174" i="6"/>
  <c r="AS175" i="6"/>
  <c r="AS176" i="6"/>
  <c r="AS177" i="6"/>
  <c r="AS179" i="6"/>
  <c r="AS180" i="6"/>
  <c r="AS181" i="6"/>
  <c r="AS182" i="6"/>
  <c r="AS183" i="6"/>
  <c r="AS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8" i="6"/>
  <c r="AR69" i="6"/>
  <c r="AR70" i="6"/>
  <c r="AR71" i="6"/>
  <c r="AR72" i="6"/>
  <c r="AR73" i="6"/>
  <c r="AR74" i="6"/>
  <c r="AR75" i="6"/>
  <c r="AR76" i="6"/>
  <c r="AR77" i="6"/>
  <c r="AR78" i="6"/>
  <c r="AR79" i="6"/>
  <c r="AR81" i="6"/>
  <c r="AR82" i="6"/>
  <c r="AR83" i="6"/>
  <c r="AR84" i="6"/>
  <c r="AR85" i="6"/>
  <c r="AR86" i="6"/>
  <c r="AR87" i="6"/>
  <c r="AR88" i="6"/>
  <c r="AR89" i="6"/>
  <c r="AR90" i="6"/>
  <c r="AR91" i="6"/>
  <c r="AR92" i="6"/>
  <c r="AR93" i="6"/>
  <c r="AR94" i="6"/>
  <c r="AR95" i="6"/>
  <c r="AR96" i="6"/>
  <c r="AR97" i="6"/>
  <c r="AR98" i="6"/>
  <c r="AR99" i="6"/>
  <c r="AR100" i="6"/>
  <c r="AR101" i="6"/>
  <c r="AR102" i="6"/>
  <c r="AR103" i="6"/>
  <c r="AR105" i="6"/>
  <c r="AR106" i="6"/>
  <c r="AR107" i="6"/>
  <c r="AR108" i="6"/>
  <c r="AR109" i="6"/>
  <c r="AR110" i="6"/>
  <c r="AR111" i="6"/>
  <c r="AR112" i="6"/>
  <c r="AR113" i="6"/>
  <c r="AR114" i="6"/>
  <c r="AR115" i="6"/>
  <c r="AR116" i="6"/>
  <c r="AR117" i="6"/>
  <c r="AR118" i="6"/>
  <c r="AR119" i="6"/>
  <c r="AR120" i="6"/>
  <c r="AR121" i="6"/>
  <c r="AR122" i="6"/>
  <c r="AR123" i="6"/>
  <c r="AR124" i="6"/>
  <c r="AR125" i="6"/>
  <c r="AR126" i="6"/>
  <c r="AR127" i="6"/>
  <c r="AR128" i="6"/>
  <c r="AR129" i="6"/>
  <c r="AR130" i="6"/>
  <c r="AR131" i="6"/>
  <c r="AR132" i="6"/>
  <c r="AR133" i="6"/>
  <c r="AR134" i="6"/>
  <c r="AR135" i="6"/>
  <c r="AR136" i="6"/>
  <c r="AR137" i="6"/>
  <c r="AR138" i="6"/>
  <c r="AR140" i="6"/>
  <c r="AR141" i="6"/>
  <c r="AR142" i="6"/>
  <c r="AR143" i="6"/>
  <c r="AR144" i="6"/>
  <c r="AR145" i="6"/>
  <c r="AR146" i="6"/>
  <c r="AR147" i="6"/>
  <c r="AR148" i="6"/>
  <c r="AR149" i="6"/>
  <c r="AR150" i="6"/>
  <c r="AR151" i="6"/>
  <c r="AR152" i="6"/>
  <c r="AR154" i="6"/>
  <c r="AR155" i="6"/>
  <c r="AR156" i="6"/>
  <c r="AR157" i="6"/>
  <c r="AR158" i="6"/>
  <c r="AR159" i="6"/>
  <c r="AR160" i="6"/>
  <c r="AR161" i="6"/>
  <c r="AR162" i="6"/>
  <c r="AR163" i="6"/>
  <c r="AR164" i="6"/>
  <c r="AR165" i="6"/>
  <c r="AR166" i="6"/>
  <c r="AR167" i="6"/>
  <c r="AR168" i="6"/>
  <c r="AR169" i="6"/>
  <c r="AR170" i="6"/>
  <c r="AR171" i="6"/>
  <c r="AR172" i="6"/>
  <c r="AR173" i="6"/>
  <c r="AR174" i="6"/>
  <c r="AR175" i="6"/>
  <c r="AR176" i="6"/>
  <c r="AR177" i="6"/>
  <c r="AR179" i="6"/>
  <c r="AR180" i="6"/>
  <c r="AR181" i="6"/>
  <c r="AR182" i="6"/>
  <c r="AR183" i="6"/>
  <c r="AR8" i="6"/>
  <c r="AQ9" i="6"/>
  <c r="AQ10" i="6"/>
  <c r="AQ11" i="6"/>
  <c r="AQ12" i="6"/>
  <c r="AQ13" i="6"/>
  <c r="AQ14" i="6"/>
  <c r="AQ15" i="6"/>
  <c r="AQ16" i="6"/>
  <c r="AQ17" i="6"/>
  <c r="AQ18" i="6"/>
  <c r="AQ19" i="6"/>
  <c r="AQ20" i="6"/>
  <c r="AQ21" i="6"/>
  <c r="AQ22" i="6"/>
  <c r="AQ23" i="6"/>
  <c r="AQ24" i="6"/>
  <c r="AQ25" i="6"/>
  <c r="AQ26" i="6"/>
  <c r="AQ27" i="6"/>
  <c r="AQ28" i="6"/>
  <c r="AQ29" i="6"/>
  <c r="AQ30" i="6"/>
  <c r="AQ31" i="6"/>
  <c r="AQ32" i="6"/>
  <c r="AQ33" i="6"/>
  <c r="AQ34" i="6"/>
  <c r="AQ35" i="6"/>
  <c r="AQ36" i="6"/>
  <c r="AQ37" i="6"/>
  <c r="AQ38" i="6"/>
  <c r="AQ39" i="6"/>
  <c r="AQ40" i="6"/>
  <c r="AQ41" i="6"/>
  <c r="AQ42" i="6"/>
  <c r="AQ43" i="6"/>
  <c r="AQ44" i="6"/>
  <c r="AQ45" i="6"/>
  <c r="AQ46" i="6"/>
  <c r="AQ47" i="6"/>
  <c r="AQ48" i="6"/>
  <c r="AQ49" i="6"/>
  <c r="AQ50" i="6"/>
  <c r="AQ51" i="6"/>
  <c r="AQ52" i="6"/>
  <c r="AQ53" i="6"/>
  <c r="AQ54" i="6"/>
  <c r="AQ55" i="6"/>
  <c r="AQ56" i="6"/>
  <c r="AQ57" i="6"/>
  <c r="AQ58" i="6"/>
  <c r="AQ59" i="6"/>
  <c r="AQ60" i="6"/>
  <c r="AQ61" i="6"/>
  <c r="AQ62" i="6"/>
  <c r="AQ63" i="6"/>
  <c r="AQ64" i="6"/>
  <c r="AQ65" i="6"/>
  <c r="AQ66" i="6"/>
  <c r="AQ68" i="6"/>
  <c r="AQ69" i="6"/>
  <c r="AQ70" i="6"/>
  <c r="AQ71" i="6"/>
  <c r="AQ72" i="6"/>
  <c r="AQ73" i="6"/>
  <c r="AQ74" i="6"/>
  <c r="AQ75" i="6"/>
  <c r="AQ76" i="6"/>
  <c r="AQ77" i="6"/>
  <c r="AQ78" i="6"/>
  <c r="AQ79" i="6"/>
  <c r="AQ81" i="6"/>
  <c r="AQ82" i="6"/>
  <c r="AQ83" i="6"/>
  <c r="AQ84" i="6"/>
  <c r="AQ85" i="6"/>
  <c r="AQ86" i="6"/>
  <c r="AQ87" i="6"/>
  <c r="AQ88" i="6"/>
  <c r="AQ89" i="6"/>
  <c r="AQ90" i="6"/>
  <c r="AQ91" i="6"/>
  <c r="AQ92" i="6"/>
  <c r="AQ93" i="6"/>
  <c r="AQ94" i="6"/>
  <c r="AQ95" i="6"/>
  <c r="AQ96" i="6"/>
  <c r="AQ97" i="6"/>
  <c r="AQ98" i="6"/>
  <c r="AQ99" i="6"/>
  <c r="AQ100" i="6"/>
  <c r="AQ101" i="6"/>
  <c r="AQ102" i="6"/>
  <c r="AQ103" i="6"/>
  <c r="AQ105" i="6"/>
  <c r="AQ106" i="6"/>
  <c r="AQ107" i="6"/>
  <c r="AQ108" i="6"/>
  <c r="AQ110" i="6"/>
  <c r="AQ111" i="6"/>
  <c r="AQ112" i="6"/>
  <c r="AQ113" i="6"/>
  <c r="AQ114" i="6"/>
  <c r="AQ115" i="6"/>
  <c r="AQ116" i="6"/>
  <c r="AQ117" i="6"/>
  <c r="AQ118" i="6"/>
  <c r="AQ119" i="6"/>
  <c r="AQ120" i="6"/>
  <c r="AQ121" i="6"/>
  <c r="AQ122" i="6"/>
  <c r="AQ123" i="6"/>
  <c r="AQ124" i="6"/>
  <c r="AQ125" i="6"/>
  <c r="AQ126" i="6"/>
  <c r="AQ127" i="6"/>
  <c r="AQ128" i="6"/>
  <c r="AQ129" i="6"/>
  <c r="AQ130" i="6"/>
  <c r="AQ131" i="6"/>
  <c r="AQ132" i="6"/>
  <c r="AQ133" i="6"/>
  <c r="AQ134" i="6"/>
  <c r="AQ135" i="6"/>
  <c r="AQ136" i="6"/>
  <c r="AQ137" i="6"/>
  <c r="AQ138" i="6"/>
  <c r="AQ140" i="6"/>
  <c r="AQ141" i="6"/>
  <c r="AQ142" i="6"/>
  <c r="AQ144" i="6"/>
  <c r="AQ146" i="6"/>
  <c r="AQ147" i="6"/>
  <c r="AQ149" i="6"/>
  <c r="AQ150" i="6"/>
  <c r="AQ151" i="6"/>
  <c r="AQ152" i="6"/>
  <c r="AQ153" i="6"/>
  <c r="AQ154" i="6"/>
  <c r="AQ155" i="6"/>
  <c r="AQ156" i="6"/>
  <c r="AQ157" i="6"/>
  <c r="AQ158" i="6"/>
  <c r="AQ159" i="6"/>
  <c r="AQ160" i="6"/>
  <c r="AQ161" i="6"/>
  <c r="AQ162" i="6"/>
  <c r="AQ163" i="6"/>
  <c r="AQ164" i="6"/>
  <c r="AQ165" i="6"/>
  <c r="AQ166" i="6"/>
  <c r="AQ167" i="6"/>
  <c r="AQ168" i="6"/>
  <c r="AQ169" i="6"/>
  <c r="AQ170" i="6"/>
  <c r="AQ171" i="6"/>
  <c r="AQ172" i="6"/>
  <c r="AQ173" i="6"/>
  <c r="AQ176" i="6"/>
  <c r="AQ177" i="6"/>
  <c r="AQ179" i="6"/>
  <c r="AQ180" i="6"/>
  <c r="AQ182" i="6"/>
  <c r="AQ183" i="6"/>
  <c r="AQ8" i="6"/>
  <c r="P185" i="14" l="1"/>
  <c r="R185" i="14"/>
  <c r="S185" i="14"/>
  <c r="T185" i="14"/>
  <c r="X186" i="14"/>
  <c r="AA186" i="14"/>
  <c r="AB186" i="14"/>
  <c r="AD186" i="14"/>
  <c r="P187" i="14"/>
  <c r="P18" i="6" l="1"/>
  <c r="Y18" i="6" s="1"/>
  <c r="AA18" i="6" s="1"/>
  <c r="V17" i="6"/>
  <c r="Y17" i="6" s="1"/>
  <c r="H21" i="14"/>
  <c r="AC21" i="14" s="1"/>
  <c r="F21" i="14"/>
  <c r="W21" i="14" s="1"/>
  <c r="N18" i="6"/>
  <c r="S36" i="6"/>
  <c r="S37" i="6"/>
  <c r="V40" i="6"/>
  <c r="V42" i="6"/>
  <c r="G21" i="14" l="1"/>
  <c r="O21" i="14" s="1"/>
  <c r="M21" i="14"/>
  <c r="Q21" i="14"/>
  <c r="N75" i="14"/>
  <c r="L71" i="14"/>
  <c r="Z21" i="14" l="1"/>
  <c r="I21" i="14"/>
  <c r="T6" i="14"/>
  <c r="U6" i="14"/>
  <c r="AB6" i="14"/>
  <c r="AD6" i="14"/>
  <c r="S6" i="14"/>
  <c r="H35" i="14"/>
  <c r="AC35" i="14" s="1"/>
  <c r="H36" i="14"/>
  <c r="AC36" i="14" s="1"/>
  <c r="H37" i="14"/>
  <c r="H38" i="14"/>
  <c r="AC38" i="14" s="1"/>
  <c r="H39" i="14"/>
  <c r="AC39" i="14" s="1"/>
  <c r="H40" i="14"/>
  <c r="AC40" i="14" s="1"/>
  <c r="H41" i="14"/>
  <c r="H42" i="14"/>
  <c r="H43" i="14"/>
  <c r="AC43" i="14" s="1"/>
  <c r="H44" i="14"/>
  <c r="AC44" i="14" s="1"/>
  <c r="H45" i="14"/>
  <c r="H46" i="14"/>
  <c r="H47" i="14"/>
  <c r="AC47" i="14" s="1"/>
  <c r="H48" i="14"/>
  <c r="AC48" i="14" s="1"/>
  <c r="H49" i="14"/>
  <c r="AC49" i="14" s="1"/>
  <c r="H50" i="14"/>
  <c r="H51" i="14"/>
  <c r="AC51" i="14" s="1"/>
  <c r="H52" i="14"/>
  <c r="AC52" i="14" s="1"/>
  <c r="AP67" i="6" s="1"/>
  <c r="H9" i="14"/>
  <c r="H10" i="14"/>
  <c r="H53" i="14"/>
  <c r="AC53" i="14" s="1"/>
  <c r="H54" i="14"/>
  <c r="AC54" i="14" s="1"/>
  <c r="H55" i="14"/>
  <c r="H56" i="14"/>
  <c r="H57" i="14"/>
  <c r="AC57" i="14" s="1"/>
  <c r="AP57" i="6" s="1"/>
  <c r="H58" i="14"/>
  <c r="AC58" i="14" s="1"/>
  <c r="H59" i="14"/>
  <c r="H60" i="14"/>
  <c r="H61" i="14"/>
  <c r="AC61" i="14" s="1"/>
  <c r="H62" i="14"/>
  <c r="AC62" i="14" s="1"/>
  <c r="H63" i="14"/>
  <c r="AC63" i="14" s="1"/>
  <c r="H64" i="14"/>
  <c r="AC64" i="14" s="1"/>
  <c r="H65" i="14"/>
  <c r="AC65" i="14" s="1"/>
  <c r="H66" i="14"/>
  <c r="AC66" i="14" s="1"/>
  <c r="H68" i="14"/>
  <c r="H69" i="14"/>
  <c r="H70" i="14"/>
  <c r="AC70" i="14" s="1"/>
  <c r="H71" i="14"/>
  <c r="AC71" i="14" s="1"/>
  <c r="H72" i="14"/>
  <c r="H73" i="14"/>
  <c r="H74" i="14"/>
  <c r="AC74" i="14" s="1"/>
  <c r="H75" i="14"/>
  <c r="AC75" i="14" s="1"/>
  <c r="AP75" i="6" s="1"/>
  <c r="H76" i="14"/>
  <c r="H77" i="14"/>
  <c r="H78" i="14"/>
  <c r="AC78" i="14" s="1"/>
  <c r="H79" i="14"/>
  <c r="AC79" i="14" s="1"/>
  <c r="H81" i="14"/>
  <c r="AC81" i="14" s="1"/>
  <c r="AP80" i="6" s="1"/>
  <c r="H82" i="14"/>
  <c r="H83" i="14"/>
  <c r="AC83" i="14" s="1"/>
  <c r="AP83" i="6" s="1"/>
  <c r="H84" i="14"/>
  <c r="AC84" i="14" s="1"/>
  <c r="AP84" i="6" s="1"/>
  <c r="H85" i="14"/>
  <c r="H86" i="14"/>
  <c r="H87" i="14"/>
  <c r="AC87" i="14" s="1"/>
  <c r="AP87" i="6" s="1"/>
  <c r="H88" i="14"/>
  <c r="AC88" i="14" s="1"/>
  <c r="AP88" i="6" s="1"/>
  <c r="H89" i="14"/>
  <c r="H90" i="14"/>
  <c r="H91" i="14"/>
  <c r="AC91" i="14" s="1"/>
  <c r="AP91" i="6" s="1"/>
  <c r="H92" i="14"/>
  <c r="AC92" i="14" s="1"/>
  <c r="AP92" i="6" s="1"/>
  <c r="H93" i="14"/>
  <c r="H94" i="14"/>
  <c r="AC94" i="14" s="1"/>
  <c r="H95" i="14"/>
  <c r="AC95" i="14" s="1"/>
  <c r="AP95" i="6" s="1"/>
  <c r="H96" i="14"/>
  <c r="AC96" i="14" s="1"/>
  <c r="AP96" i="6" s="1"/>
  <c r="H97" i="14"/>
  <c r="AC97" i="14" s="1"/>
  <c r="AP97" i="6" s="1"/>
  <c r="H98" i="14"/>
  <c r="H99" i="14"/>
  <c r="AC99" i="14" s="1"/>
  <c r="AP99" i="6" s="1"/>
  <c r="H100" i="14"/>
  <c r="AC100" i="14" s="1"/>
  <c r="AP100" i="6" s="1"/>
  <c r="H101" i="14"/>
  <c r="H102" i="14"/>
  <c r="H103" i="14"/>
  <c r="AC103" i="14" s="1"/>
  <c r="AP103" i="6" s="1"/>
  <c r="H105" i="14"/>
  <c r="AC105" i="14" s="1"/>
  <c r="H106" i="14"/>
  <c r="H107" i="14"/>
  <c r="H108" i="14"/>
  <c r="AC108" i="14" s="1"/>
  <c r="AP108" i="6" s="1"/>
  <c r="H109" i="14"/>
  <c r="AC109" i="14" s="1"/>
  <c r="AP109" i="6" s="1"/>
  <c r="H110" i="14"/>
  <c r="H111" i="14"/>
  <c r="H112" i="14"/>
  <c r="AC112" i="14" s="1"/>
  <c r="AP112" i="6" s="1"/>
  <c r="H113" i="14"/>
  <c r="AC113" i="14" s="1"/>
  <c r="AP113" i="6" s="1"/>
  <c r="H114" i="14"/>
  <c r="AC114" i="14" s="1"/>
  <c r="AP114" i="6" s="1"/>
  <c r="H115" i="14"/>
  <c r="H116" i="14"/>
  <c r="AC116" i="14" s="1"/>
  <c r="AP116" i="6" s="1"/>
  <c r="H117" i="14"/>
  <c r="AC117" i="14" s="1"/>
  <c r="AP117" i="6" s="1"/>
  <c r="H118" i="14"/>
  <c r="H119" i="14"/>
  <c r="H120" i="14"/>
  <c r="AC120" i="14" s="1"/>
  <c r="AP120" i="6" s="1"/>
  <c r="H121" i="14"/>
  <c r="AC121" i="14" s="1"/>
  <c r="AP121" i="6" s="1"/>
  <c r="H122" i="14"/>
  <c r="H123" i="14"/>
  <c r="H124" i="14"/>
  <c r="H125" i="14"/>
  <c r="AC125" i="14" s="1"/>
  <c r="AP125" i="6" s="1"/>
  <c r="H126" i="14"/>
  <c r="H127" i="14"/>
  <c r="H128" i="14"/>
  <c r="AC128" i="14" s="1"/>
  <c r="AP128" i="6" s="1"/>
  <c r="H129" i="14"/>
  <c r="AC129" i="14" s="1"/>
  <c r="H130" i="14"/>
  <c r="AC130" i="14" s="1"/>
  <c r="AP130" i="6" s="1"/>
  <c r="H131" i="14"/>
  <c r="H132" i="14"/>
  <c r="AC132" i="14" s="1"/>
  <c r="AP132" i="6" s="1"/>
  <c r="H133" i="14"/>
  <c r="AC133" i="14" s="1"/>
  <c r="AP133" i="6" s="1"/>
  <c r="H134" i="14"/>
  <c r="H135" i="14"/>
  <c r="H136" i="14"/>
  <c r="AC136" i="14" s="1"/>
  <c r="AP136" i="6" s="1"/>
  <c r="H137" i="14"/>
  <c r="AC137" i="14" s="1"/>
  <c r="AP137" i="6" s="1"/>
  <c r="H138" i="14"/>
  <c r="H140" i="14"/>
  <c r="AC140" i="14" s="1"/>
  <c r="H141" i="14"/>
  <c r="AC141" i="14" s="1"/>
  <c r="AP141" i="6" s="1"/>
  <c r="H142" i="14"/>
  <c r="AC142" i="14" s="1"/>
  <c r="AP142" i="6" s="1"/>
  <c r="H143" i="14"/>
  <c r="H144" i="14"/>
  <c r="H145" i="14"/>
  <c r="AC145" i="14" s="1"/>
  <c r="AP145" i="6" s="1"/>
  <c r="H146" i="14"/>
  <c r="AC146" i="14" s="1"/>
  <c r="AP146" i="6" s="1"/>
  <c r="H147" i="14"/>
  <c r="AC147" i="14" s="1"/>
  <c r="AP147" i="6" s="1"/>
  <c r="H148" i="14"/>
  <c r="H149" i="14"/>
  <c r="AC149" i="14" s="1"/>
  <c r="AP149" i="6" s="1"/>
  <c r="H150" i="14"/>
  <c r="AC150" i="14" s="1"/>
  <c r="AP150" i="6" s="1"/>
  <c r="H151" i="14"/>
  <c r="H152" i="14"/>
  <c r="AC152" i="14" s="1"/>
  <c r="AP152" i="6" s="1"/>
  <c r="H153" i="14"/>
  <c r="AC153" i="14" s="1"/>
  <c r="AP153" i="6" s="1"/>
  <c r="H154" i="14"/>
  <c r="AC154" i="14" s="1"/>
  <c r="AP154" i="6" s="1"/>
  <c r="H155" i="14"/>
  <c r="H156" i="14"/>
  <c r="AC156" i="14" s="1"/>
  <c r="AP156" i="6" s="1"/>
  <c r="H157" i="14"/>
  <c r="AC157" i="14" s="1"/>
  <c r="AP157" i="6" s="1"/>
  <c r="H158" i="14"/>
  <c r="AC158" i="14" s="1"/>
  <c r="AP158" i="6" s="1"/>
  <c r="H159" i="14"/>
  <c r="H160" i="14"/>
  <c r="AC160" i="14" s="1"/>
  <c r="AP160" i="6" s="1"/>
  <c r="H161" i="14"/>
  <c r="AC161" i="14" s="1"/>
  <c r="AP161" i="6" s="1"/>
  <c r="H162" i="14"/>
  <c r="AC162" i="14" s="1"/>
  <c r="AP162" i="6" s="1"/>
  <c r="H163" i="14"/>
  <c r="AC163" i="14" s="1"/>
  <c r="AP163" i="6" s="1"/>
  <c r="H164" i="14"/>
  <c r="H165" i="14"/>
  <c r="AC165" i="14" s="1"/>
  <c r="AP165" i="6" s="1"/>
  <c r="H166" i="14"/>
  <c r="AC166" i="14" s="1"/>
  <c r="AP166" i="6" s="1"/>
  <c r="H167" i="14"/>
  <c r="H168" i="14"/>
  <c r="AC168" i="14" s="1"/>
  <c r="AP168" i="6" s="1"/>
  <c r="H169" i="14"/>
  <c r="AC169" i="14" s="1"/>
  <c r="AP169" i="6" s="1"/>
  <c r="H170" i="14"/>
  <c r="AC170" i="14" s="1"/>
  <c r="AP170" i="6" s="1"/>
  <c r="H171" i="14"/>
  <c r="H172" i="14"/>
  <c r="AC172" i="14" s="1"/>
  <c r="AP172" i="6" s="1"/>
  <c r="H173" i="14"/>
  <c r="AC173" i="14" s="1"/>
  <c r="AP173" i="6" s="1"/>
  <c r="H174" i="14"/>
  <c r="AC174" i="14" s="1"/>
  <c r="AP174" i="6" s="1"/>
  <c r="H175" i="14"/>
  <c r="H176" i="14"/>
  <c r="H177" i="14"/>
  <c r="AC177" i="14" s="1"/>
  <c r="AP177" i="6" s="1"/>
  <c r="H179" i="14"/>
  <c r="AC179" i="14" s="1"/>
  <c r="H180" i="14"/>
  <c r="AC180" i="14" s="1"/>
  <c r="H181" i="14"/>
  <c r="H182" i="14"/>
  <c r="AC182" i="14" s="1"/>
  <c r="AP182" i="6" s="1"/>
  <c r="H183" i="14"/>
  <c r="AC183" i="14" s="1"/>
  <c r="AP183" i="6" s="1"/>
  <c r="H12" i="14"/>
  <c r="H13" i="14"/>
  <c r="AC13" i="14" s="1"/>
  <c r="H14" i="14"/>
  <c r="AC14" i="14" s="1"/>
  <c r="H15" i="14"/>
  <c r="H16" i="14"/>
  <c r="Q16" i="14" s="1"/>
  <c r="H17" i="14"/>
  <c r="AC17" i="14" s="1"/>
  <c r="H18" i="14"/>
  <c r="AC18" i="14" s="1"/>
  <c r="H19" i="14"/>
  <c r="H20" i="14"/>
  <c r="Q20" i="14" s="1"/>
  <c r="H22" i="14"/>
  <c r="AC22" i="14" s="1"/>
  <c r="H23" i="14"/>
  <c r="AC23" i="14" s="1"/>
  <c r="H24" i="14"/>
  <c r="Q24" i="14" s="1"/>
  <c r="H25" i="14"/>
  <c r="AC25" i="14" s="1"/>
  <c r="H26" i="14"/>
  <c r="AC26" i="14" s="1"/>
  <c r="H27" i="14"/>
  <c r="AC27" i="14" s="1"/>
  <c r="H28" i="14"/>
  <c r="H29" i="14"/>
  <c r="Q29" i="14" s="1"/>
  <c r="H30" i="14"/>
  <c r="AC30" i="14" s="1"/>
  <c r="H31" i="14"/>
  <c r="AC31" i="14" s="1"/>
  <c r="H8" i="14"/>
  <c r="H32" i="14"/>
  <c r="Q32" i="14" s="1"/>
  <c r="H33" i="14"/>
  <c r="AC33" i="14" s="1"/>
  <c r="H34" i="14"/>
  <c r="AC34" i="14" s="1"/>
  <c r="H11" i="14"/>
  <c r="AC11" i="14" s="1"/>
  <c r="G179" i="14"/>
  <c r="Z179" i="14" s="1"/>
  <c r="G180" i="14"/>
  <c r="G181" i="14"/>
  <c r="Z181" i="14" s="1"/>
  <c r="AN181" i="6" s="1"/>
  <c r="G182" i="14"/>
  <c r="O182" i="14" s="1"/>
  <c r="G183" i="14"/>
  <c r="Z183" i="14" s="1"/>
  <c r="AN183" i="6" s="1"/>
  <c r="G148" i="14"/>
  <c r="G150" i="14"/>
  <c r="O150" i="14" s="1"/>
  <c r="G151" i="14"/>
  <c r="Z151" i="14" s="1"/>
  <c r="AN151" i="6" s="1"/>
  <c r="G152" i="14"/>
  <c r="O152" i="14" s="1"/>
  <c r="G154" i="14"/>
  <c r="O154" i="14" s="1"/>
  <c r="G155" i="14"/>
  <c r="Z155" i="14" s="1"/>
  <c r="G156" i="14"/>
  <c r="G157" i="14"/>
  <c r="Z157" i="14" s="1"/>
  <c r="AN157" i="6" s="1"/>
  <c r="G159" i="14"/>
  <c r="Z159" i="14" s="1"/>
  <c r="AN159" i="6" s="1"/>
  <c r="G160" i="14"/>
  <c r="O160" i="14" s="1"/>
  <c r="G161" i="14"/>
  <c r="Z161" i="14" s="1"/>
  <c r="AN161" i="6" s="1"/>
  <c r="G162" i="14"/>
  <c r="G163" i="14"/>
  <c r="Z163" i="14" s="1"/>
  <c r="AN163" i="6" s="1"/>
  <c r="G164" i="14"/>
  <c r="G165" i="14"/>
  <c r="G166" i="14"/>
  <c r="G167" i="14"/>
  <c r="G168" i="14"/>
  <c r="G169" i="14"/>
  <c r="Z169" i="14" s="1"/>
  <c r="AN169" i="6" s="1"/>
  <c r="G170" i="14"/>
  <c r="G171" i="14"/>
  <c r="G172" i="14"/>
  <c r="G173" i="14"/>
  <c r="G174" i="14"/>
  <c r="O174" i="14" s="1"/>
  <c r="G175" i="14"/>
  <c r="Z175" i="14" s="1"/>
  <c r="AN175" i="6" s="1"/>
  <c r="G176" i="14"/>
  <c r="O176" i="14" s="1"/>
  <c r="G177" i="14"/>
  <c r="Z177" i="14" s="1"/>
  <c r="AN177" i="6" s="1"/>
  <c r="G122" i="14"/>
  <c r="G124" i="14"/>
  <c r="G126" i="14"/>
  <c r="Z126" i="14" s="1"/>
  <c r="AN126" i="6" s="1"/>
  <c r="G127" i="14"/>
  <c r="Z127" i="14" s="1"/>
  <c r="AN127" i="6" s="1"/>
  <c r="G128" i="14"/>
  <c r="Z128" i="14" s="1"/>
  <c r="AN128" i="6" s="1"/>
  <c r="G129" i="14"/>
  <c r="G130" i="14"/>
  <c r="Z130" i="14" s="1"/>
  <c r="AN130" i="6" s="1"/>
  <c r="G133" i="14"/>
  <c r="G135" i="14"/>
  <c r="Z135" i="14" s="1"/>
  <c r="AN135" i="6" s="1"/>
  <c r="G136" i="14"/>
  <c r="G137" i="14"/>
  <c r="G140" i="14"/>
  <c r="Z140" i="14" s="1"/>
  <c r="AN140" i="6" s="1"/>
  <c r="G141" i="14"/>
  <c r="G142" i="14"/>
  <c r="G143" i="14"/>
  <c r="Z143" i="14" s="1"/>
  <c r="G144" i="14"/>
  <c r="Z144" i="14" s="1"/>
  <c r="G145" i="14"/>
  <c r="Z145" i="14" s="1"/>
  <c r="AN145" i="6" s="1"/>
  <c r="G146" i="14"/>
  <c r="G147" i="14"/>
  <c r="Z147" i="14" s="1"/>
  <c r="AN147" i="6" s="1"/>
  <c r="G103" i="14"/>
  <c r="Z103" i="14" s="1"/>
  <c r="AN103" i="6" s="1"/>
  <c r="G105" i="14"/>
  <c r="O105" i="14" s="1"/>
  <c r="G106" i="14"/>
  <c r="Z106" i="14" s="1"/>
  <c r="AN106" i="6" s="1"/>
  <c r="G107" i="14"/>
  <c r="O107" i="14" s="1"/>
  <c r="G109" i="14"/>
  <c r="G110" i="14"/>
  <c r="Z110" i="14" s="1"/>
  <c r="AN110" i="6" s="1"/>
  <c r="G111" i="14"/>
  <c r="G112" i="14"/>
  <c r="Z112" i="14" s="1"/>
  <c r="AN112" i="6" s="1"/>
  <c r="G113" i="14"/>
  <c r="G114" i="14"/>
  <c r="Z114" i="14" s="1"/>
  <c r="AN114" i="6" s="1"/>
  <c r="G116" i="14"/>
  <c r="Z116" i="14" s="1"/>
  <c r="AN116" i="6" s="1"/>
  <c r="G117" i="14"/>
  <c r="G118" i="14"/>
  <c r="Z118" i="14" s="1"/>
  <c r="AN118" i="6" s="1"/>
  <c r="G119" i="14"/>
  <c r="G120" i="14"/>
  <c r="Z120" i="14" s="1"/>
  <c r="AN120" i="6" s="1"/>
  <c r="G121" i="14"/>
  <c r="G99" i="14"/>
  <c r="Z99" i="14" s="1"/>
  <c r="AN99" i="6" s="1"/>
  <c r="G100" i="14"/>
  <c r="O100" i="14" s="1"/>
  <c r="G101" i="14"/>
  <c r="Z101" i="14" s="1"/>
  <c r="AN101" i="6" s="1"/>
  <c r="G102" i="14"/>
  <c r="G32" i="14"/>
  <c r="O32" i="14" s="1"/>
  <c r="G33" i="14"/>
  <c r="Z33" i="14" s="1"/>
  <c r="G34" i="14"/>
  <c r="Z34" i="14" s="1"/>
  <c r="G35" i="14"/>
  <c r="G37" i="14"/>
  <c r="Z37" i="14" s="1"/>
  <c r="G38" i="14"/>
  <c r="G39" i="14"/>
  <c r="G40" i="14"/>
  <c r="O40" i="14" s="1"/>
  <c r="G41" i="14"/>
  <c r="Z41" i="14" s="1"/>
  <c r="G46" i="14"/>
  <c r="O46" i="14" s="1"/>
  <c r="G47" i="14"/>
  <c r="G48" i="14"/>
  <c r="O48" i="14" s="1"/>
  <c r="G49" i="14"/>
  <c r="Z49" i="14" s="1"/>
  <c r="G50" i="14"/>
  <c r="Z50" i="14" s="1"/>
  <c r="G51" i="14"/>
  <c r="G9" i="14"/>
  <c r="Z9" i="14" s="1"/>
  <c r="G10" i="14"/>
  <c r="Z10" i="14" s="1"/>
  <c r="G53" i="14"/>
  <c r="G54" i="14"/>
  <c r="O54" i="14" s="1"/>
  <c r="G55" i="14"/>
  <c r="Z55" i="14" s="1"/>
  <c r="G56" i="14"/>
  <c r="Z56" i="14" s="1"/>
  <c r="G57" i="14"/>
  <c r="G58" i="14"/>
  <c r="O58" i="14" s="1"/>
  <c r="G59" i="14"/>
  <c r="Z59" i="14" s="1"/>
  <c r="G60" i="14"/>
  <c r="G61" i="14"/>
  <c r="G62" i="14"/>
  <c r="G63" i="14"/>
  <c r="Z63" i="14" s="1"/>
  <c r="AN63" i="6" s="1"/>
  <c r="G64" i="14"/>
  <c r="Z64" i="14" s="1"/>
  <c r="G65" i="14"/>
  <c r="G66" i="14"/>
  <c r="O66" i="14" s="1"/>
  <c r="G68" i="14"/>
  <c r="Z68" i="14" s="1"/>
  <c r="G69" i="14"/>
  <c r="Z69" i="14" s="1"/>
  <c r="G70" i="14"/>
  <c r="G71" i="14"/>
  <c r="G73" i="14"/>
  <c r="O73" i="14" s="1"/>
  <c r="G74" i="14"/>
  <c r="G75" i="14"/>
  <c r="O75" i="14" s="1"/>
  <c r="G76" i="14"/>
  <c r="Z76" i="14" s="1"/>
  <c r="AN76" i="6" s="1"/>
  <c r="G77" i="14"/>
  <c r="Z77" i="14" s="1"/>
  <c r="G78" i="14"/>
  <c r="G79" i="14"/>
  <c r="G81" i="14"/>
  <c r="Z81" i="14" s="1"/>
  <c r="G82" i="14"/>
  <c r="G83" i="14"/>
  <c r="O83" i="14" s="1"/>
  <c r="G84" i="14"/>
  <c r="O84" i="14" s="1"/>
  <c r="G85" i="14"/>
  <c r="Z85" i="14" s="1"/>
  <c r="AN85" i="6" s="1"/>
  <c r="G86" i="14"/>
  <c r="Z86" i="14" s="1"/>
  <c r="AN86" i="6" s="1"/>
  <c r="G88" i="14"/>
  <c r="G89" i="14"/>
  <c r="Z89" i="14" s="1"/>
  <c r="AN89" i="6" s="1"/>
  <c r="G92" i="14"/>
  <c r="O92" i="14" s="1"/>
  <c r="G93" i="14"/>
  <c r="Z93" i="14" s="1"/>
  <c r="G95" i="14"/>
  <c r="G96" i="14"/>
  <c r="G97" i="14"/>
  <c r="Z97" i="14" s="1"/>
  <c r="AN97" i="6" s="1"/>
  <c r="G98" i="14"/>
  <c r="Z98" i="14" s="1"/>
  <c r="AN98" i="6" s="1"/>
  <c r="G20" i="14"/>
  <c r="G23" i="14"/>
  <c r="Z23" i="14" s="1"/>
  <c r="G24" i="14"/>
  <c r="G25" i="14"/>
  <c r="G26" i="14"/>
  <c r="G27" i="14"/>
  <c r="O27" i="14" s="1"/>
  <c r="G28" i="14"/>
  <c r="G29" i="14"/>
  <c r="O29" i="14" s="1"/>
  <c r="G30" i="14"/>
  <c r="G31" i="14"/>
  <c r="G8" i="14"/>
  <c r="Z8" i="14" s="1"/>
  <c r="G11" i="14"/>
  <c r="F182" i="14"/>
  <c r="W182" i="14" s="1"/>
  <c r="AL182" i="6" s="1"/>
  <c r="F183" i="14"/>
  <c r="W183" i="14" s="1"/>
  <c r="AL183" i="6" s="1"/>
  <c r="F158" i="14"/>
  <c r="W158" i="14" s="1"/>
  <c r="AL158" i="6" s="1"/>
  <c r="F159" i="14"/>
  <c r="W159" i="14" s="1"/>
  <c r="AL159" i="6" s="1"/>
  <c r="F160" i="14"/>
  <c r="W160" i="14" s="1"/>
  <c r="AL160" i="6" s="1"/>
  <c r="F161" i="14"/>
  <c r="M161" i="14" s="1"/>
  <c r="F162" i="14"/>
  <c r="F163" i="14"/>
  <c r="F164" i="14"/>
  <c r="W164" i="14" s="1"/>
  <c r="AL164" i="6" s="1"/>
  <c r="F165" i="14"/>
  <c r="W165" i="14" s="1"/>
  <c r="AL165" i="6" s="1"/>
  <c r="F166" i="14"/>
  <c r="W166" i="14" s="1"/>
  <c r="AL166" i="6" s="1"/>
  <c r="F167" i="14"/>
  <c r="F168" i="14"/>
  <c r="F169" i="14"/>
  <c r="W169" i="14" s="1"/>
  <c r="AL169" i="6" s="1"/>
  <c r="F170" i="14"/>
  <c r="W170" i="14" s="1"/>
  <c r="AL170" i="6" s="1"/>
  <c r="F171" i="14"/>
  <c r="W171" i="14" s="1"/>
  <c r="AL171" i="6" s="1"/>
  <c r="F172" i="14"/>
  <c r="W172" i="14" s="1"/>
  <c r="AL172" i="6" s="1"/>
  <c r="F173" i="14"/>
  <c r="F174" i="14"/>
  <c r="F177" i="14"/>
  <c r="W177" i="14" s="1"/>
  <c r="AL177" i="6" s="1"/>
  <c r="F179" i="14"/>
  <c r="W179" i="14" s="1"/>
  <c r="F180" i="14"/>
  <c r="W180" i="14" s="1"/>
  <c r="F12" i="14"/>
  <c r="F13" i="14"/>
  <c r="W13" i="14" s="1"/>
  <c r="F14" i="14"/>
  <c r="W14" i="14" s="1"/>
  <c r="F15" i="14"/>
  <c r="M15" i="14" s="1"/>
  <c r="F16" i="14"/>
  <c r="W16" i="14" s="1"/>
  <c r="F17" i="14"/>
  <c r="F18" i="14"/>
  <c r="W18" i="14" s="1"/>
  <c r="F19" i="14"/>
  <c r="F20" i="14"/>
  <c r="M20" i="14" s="1"/>
  <c r="F22" i="14"/>
  <c r="W22" i="14" s="1"/>
  <c r="F23" i="14"/>
  <c r="W23" i="14" s="1"/>
  <c r="F24" i="14"/>
  <c r="F25" i="14"/>
  <c r="W25" i="14" s="1"/>
  <c r="F26" i="14"/>
  <c r="W26" i="14" s="1"/>
  <c r="F27" i="14"/>
  <c r="W27" i="14" s="1"/>
  <c r="F28" i="14"/>
  <c r="F29" i="14"/>
  <c r="F8" i="14"/>
  <c r="M8" i="14" s="1"/>
  <c r="F34" i="14"/>
  <c r="W34" i="14" s="1"/>
  <c r="F35" i="14"/>
  <c r="F36" i="14"/>
  <c r="M36" i="14" s="1"/>
  <c r="F37" i="14"/>
  <c r="F38" i="14"/>
  <c r="W38" i="14" s="1"/>
  <c r="F39" i="14"/>
  <c r="F41" i="14"/>
  <c r="M41" i="14" s="1"/>
  <c r="F42" i="14"/>
  <c r="W42" i="14" s="1"/>
  <c r="F43" i="14"/>
  <c r="W43" i="14" s="1"/>
  <c r="F44" i="14"/>
  <c r="W44" i="14" s="1"/>
  <c r="F45" i="14"/>
  <c r="W45" i="14" s="1"/>
  <c r="F46" i="14"/>
  <c r="W46" i="14" s="1"/>
  <c r="F47" i="14"/>
  <c r="W47" i="14" s="1"/>
  <c r="F48" i="14"/>
  <c r="W48" i="14" s="1"/>
  <c r="F49" i="14"/>
  <c r="F50" i="14"/>
  <c r="W50" i="14" s="1"/>
  <c r="F51" i="14"/>
  <c r="F52" i="14"/>
  <c r="W52" i="14" s="1"/>
  <c r="AL67" i="6" s="1"/>
  <c r="F9" i="14"/>
  <c r="F10" i="14"/>
  <c r="W10" i="14" s="1"/>
  <c r="F53" i="14"/>
  <c r="W53" i="14" s="1"/>
  <c r="F55" i="14"/>
  <c r="M55" i="14" s="1"/>
  <c r="F59" i="14"/>
  <c r="W59" i="14" s="1"/>
  <c r="AL59" i="6" s="1"/>
  <c r="F63" i="14"/>
  <c r="F64" i="14"/>
  <c r="W64" i="14" s="1"/>
  <c r="F69" i="14"/>
  <c r="W69" i="14" s="1"/>
  <c r="F70" i="14"/>
  <c r="W70" i="14" s="1"/>
  <c r="F73" i="14"/>
  <c r="W73" i="14" s="1"/>
  <c r="F74" i="14"/>
  <c r="F75" i="14"/>
  <c r="W75" i="14" s="1"/>
  <c r="F76" i="14"/>
  <c r="F78" i="14"/>
  <c r="M78" i="14" s="1"/>
  <c r="F79" i="14"/>
  <c r="F81" i="14"/>
  <c r="F82" i="14"/>
  <c r="W82" i="14" s="1"/>
  <c r="F83" i="14"/>
  <c r="W83" i="14" s="1"/>
  <c r="AL83" i="6" s="1"/>
  <c r="F84" i="14"/>
  <c r="W84" i="14" s="1"/>
  <c r="AL84" i="6" s="1"/>
  <c r="F86" i="14"/>
  <c r="W86" i="14" s="1"/>
  <c r="AL86" i="6" s="1"/>
  <c r="F88" i="14"/>
  <c r="W88" i="14" s="1"/>
  <c r="AL88" i="6" s="1"/>
  <c r="F89" i="14"/>
  <c r="W89" i="14" s="1"/>
  <c r="AL89" i="6" s="1"/>
  <c r="F90" i="14"/>
  <c r="W90" i="14" s="1"/>
  <c r="AL90" i="6" s="1"/>
  <c r="F91" i="14"/>
  <c r="F92" i="14"/>
  <c r="W92" i="14" s="1"/>
  <c r="AL92" i="6" s="1"/>
  <c r="F93" i="14"/>
  <c r="W93" i="14" s="1"/>
  <c r="AL93" i="6" s="1"/>
  <c r="F94" i="14"/>
  <c r="W94" i="14" s="1"/>
  <c r="F95" i="14"/>
  <c r="W95" i="14" s="1"/>
  <c r="AL95" i="6" s="1"/>
  <c r="F96" i="14"/>
  <c r="W96" i="14" s="1"/>
  <c r="AL96" i="6" s="1"/>
  <c r="F97" i="14"/>
  <c r="F98" i="14"/>
  <c r="W98" i="14" s="1"/>
  <c r="AL98" i="6" s="1"/>
  <c r="F99" i="14"/>
  <c r="W99" i="14" s="1"/>
  <c r="AL99" i="6" s="1"/>
  <c r="F100" i="14"/>
  <c r="W100" i="14" s="1"/>
  <c r="AL100" i="6" s="1"/>
  <c r="F101" i="14"/>
  <c r="F102" i="14"/>
  <c r="W102" i="14" s="1"/>
  <c r="AL102" i="6" s="1"/>
  <c r="F103" i="14"/>
  <c r="W103" i="14" s="1"/>
  <c r="AL103" i="6" s="1"/>
  <c r="F106" i="14"/>
  <c r="M106" i="14" s="1"/>
  <c r="F107" i="14"/>
  <c r="W107" i="14" s="1"/>
  <c r="AL107" i="6" s="1"/>
  <c r="F108" i="14"/>
  <c r="F109" i="14"/>
  <c r="F110" i="14"/>
  <c r="F111" i="14"/>
  <c r="W111" i="14" s="1"/>
  <c r="AL111" i="6" s="1"/>
  <c r="F112" i="14"/>
  <c r="M112" i="14" s="1"/>
  <c r="F113" i="14"/>
  <c r="F114" i="14"/>
  <c r="F115" i="14"/>
  <c r="W115" i="14" s="1"/>
  <c r="AL115" i="6" s="1"/>
  <c r="F118" i="14"/>
  <c r="W118" i="14" s="1"/>
  <c r="AL118" i="6" s="1"/>
  <c r="F119" i="14"/>
  <c r="W119" i="14" s="1"/>
  <c r="AL119" i="6" s="1"/>
  <c r="F120" i="14"/>
  <c r="F121" i="14"/>
  <c r="W121" i="14" s="1"/>
  <c r="AL121" i="6" s="1"/>
  <c r="F122" i="14"/>
  <c r="M122" i="14" s="1"/>
  <c r="F124" i="14"/>
  <c r="F125" i="14"/>
  <c r="F126" i="14"/>
  <c r="F127" i="14"/>
  <c r="W127" i="14" s="1"/>
  <c r="AL127" i="6" s="1"/>
  <c r="F128" i="14"/>
  <c r="F130" i="14"/>
  <c r="W130" i="14" s="1"/>
  <c r="AL130" i="6" s="1"/>
  <c r="F131" i="14"/>
  <c r="W131" i="14" s="1"/>
  <c r="AL131" i="6" s="1"/>
  <c r="F132" i="14"/>
  <c r="F133" i="14"/>
  <c r="W133" i="14" s="1"/>
  <c r="AL133" i="6" s="1"/>
  <c r="F134" i="14"/>
  <c r="F138" i="14"/>
  <c r="M138" i="14" s="1"/>
  <c r="F140" i="14"/>
  <c r="W140" i="14" s="1"/>
  <c r="F141" i="14"/>
  <c r="W141" i="14" s="1"/>
  <c r="AL141" i="6" s="1"/>
  <c r="F142" i="14"/>
  <c r="W142" i="14" s="1"/>
  <c r="AL142" i="6" s="1"/>
  <c r="F143" i="14"/>
  <c r="F144" i="14"/>
  <c r="F145" i="14"/>
  <c r="F146" i="14"/>
  <c r="F147" i="14"/>
  <c r="F148" i="14"/>
  <c r="W148" i="14" s="1"/>
  <c r="AL148" i="6" s="1"/>
  <c r="F149" i="14"/>
  <c r="F150" i="14"/>
  <c r="W150" i="14" s="1"/>
  <c r="AL150" i="6" s="1"/>
  <c r="F151" i="14"/>
  <c r="F152" i="14"/>
  <c r="F153" i="14"/>
  <c r="W153" i="14" s="1"/>
  <c r="AL153" i="6" s="1"/>
  <c r="F154" i="14"/>
  <c r="F155" i="14"/>
  <c r="F156" i="14"/>
  <c r="F157" i="14"/>
  <c r="W157" i="14" s="1"/>
  <c r="F11" i="14"/>
  <c r="W11" i="14" s="1"/>
  <c r="P6" i="14"/>
  <c r="L17" i="14"/>
  <c r="X181" i="14"/>
  <c r="AQ181" i="6" s="1"/>
  <c r="L181" i="14"/>
  <c r="V176" i="14"/>
  <c r="AK176" i="6" s="1"/>
  <c r="AQ175" i="6"/>
  <c r="V175" i="14"/>
  <c r="AK175" i="6" s="1"/>
  <c r="X174" i="14"/>
  <c r="AQ174" i="6" s="1"/>
  <c r="V174" i="14"/>
  <c r="AK174" i="6" s="1"/>
  <c r="L174" i="14"/>
  <c r="N170" i="14"/>
  <c r="V163" i="14"/>
  <c r="AK163" i="6" s="1"/>
  <c r="L163" i="14"/>
  <c r="AM158" i="6"/>
  <c r="N153" i="14"/>
  <c r="V152" i="14"/>
  <c r="AK152" i="6" s="1"/>
  <c r="L152" i="14"/>
  <c r="Y148" i="14"/>
  <c r="AM148" i="6" s="1"/>
  <c r="X148" i="14"/>
  <c r="AQ148" i="6" s="1"/>
  <c r="N148" i="14"/>
  <c r="AM146" i="6"/>
  <c r="X145" i="14"/>
  <c r="AQ145" i="6" s="1"/>
  <c r="V145" i="14"/>
  <c r="AK145" i="6" s="1"/>
  <c r="L145" i="14"/>
  <c r="AQ143" i="6"/>
  <c r="AK143" i="6"/>
  <c r="N141" i="14"/>
  <c r="AK129" i="6"/>
  <c r="V128" i="14"/>
  <c r="AK128" i="6" s="1"/>
  <c r="L128" i="14"/>
  <c r="AQ109" i="6"/>
  <c r="V109" i="14"/>
  <c r="AK109" i="6" s="1"/>
  <c r="L109" i="14"/>
  <c r="N108" i="14"/>
  <c r="L95" i="14"/>
  <c r="AM94" i="6"/>
  <c r="N94" i="14"/>
  <c r="Y90" i="14"/>
  <c r="AM90" i="6" s="1"/>
  <c r="N90" i="14"/>
  <c r="AM88" i="6"/>
  <c r="L77" i="14"/>
  <c r="L10" i="14"/>
  <c r="Y26" i="14"/>
  <c r="V17" i="14"/>
  <c r="AC124" i="14" l="1"/>
  <c r="H191" i="14"/>
  <c r="AP129" i="6"/>
  <c r="AN179" i="6"/>
  <c r="AL179" i="6"/>
  <c r="AP179" i="6"/>
  <c r="AL140" i="6"/>
  <c r="AL139" i="6"/>
  <c r="AP140" i="6"/>
  <c r="AP139" i="6"/>
  <c r="AN144" i="6"/>
  <c r="Z165" i="14"/>
  <c r="AN165" i="6" s="1"/>
  <c r="AM26" i="6"/>
  <c r="Y186" i="14"/>
  <c r="AA6" i="14"/>
  <c r="AR153" i="6"/>
  <c r="AK17" i="6"/>
  <c r="N185" i="14"/>
  <c r="L187" i="14"/>
  <c r="N187" i="14"/>
  <c r="AP64" i="6"/>
  <c r="AL180" i="6"/>
  <c r="AP180" i="6"/>
  <c r="AP105" i="6"/>
  <c r="AP104" i="6"/>
  <c r="AN93" i="6"/>
  <c r="AN143" i="6"/>
  <c r="AP94" i="6"/>
  <c r="AL94" i="6"/>
  <c r="AP81" i="6"/>
  <c r="AL45" i="6"/>
  <c r="AN56" i="6"/>
  <c r="AP66" i="6"/>
  <c r="AP62" i="6"/>
  <c r="AP54" i="6"/>
  <c r="AP53" i="6"/>
  <c r="AN81" i="6"/>
  <c r="AN155" i="6"/>
  <c r="AP33" i="6"/>
  <c r="AP22" i="6"/>
  <c r="AL46" i="6"/>
  <c r="AL50" i="6"/>
  <c r="AP47" i="6"/>
  <c r="AL23" i="6"/>
  <c r="AP11" i="6"/>
  <c r="AL18" i="6"/>
  <c r="AL11" i="6"/>
  <c r="AP34" i="6"/>
  <c r="AL52" i="6"/>
  <c r="AP18" i="6"/>
  <c r="AL48" i="6"/>
  <c r="AL43" i="6"/>
  <c r="AL22" i="6"/>
  <c r="AL13" i="6"/>
  <c r="AP31" i="6"/>
  <c r="AP27" i="6"/>
  <c r="AP23" i="6"/>
  <c r="AP14" i="6"/>
  <c r="Q81" i="14"/>
  <c r="Q27" i="14"/>
  <c r="Q141" i="14"/>
  <c r="Q116" i="14"/>
  <c r="Q99" i="14"/>
  <c r="Q91" i="14"/>
  <c r="M75" i="14"/>
  <c r="M142" i="14"/>
  <c r="O110" i="14"/>
  <c r="M48" i="14"/>
  <c r="M133" i="14"/>
  <c r="O157" i="14"/>
  <c r="O170" i="14"/>
  <c r="M180" i="14"/>
  <c r="O33" i="14"/>
  <c r="O128" i="14"/>
  <c r="O89" i="14"/>
  <c r="M153" i="14"/>
  <c r="O114" i="14"/>
  <c r="Q147" i="14"/>
  <c r="Q142" i="14"/>
  <c r="Q11" i="14"/>
  <c r="Q121" i="14"/>
  <c r="O118" i="14"/>
  <c r="O99" i="14"/>
  <c r="Q170" i="14"/>
  <c r="Q79" i="14"/>
  <c r="M52" i="14"/>
  <c r="Q154" i="14"/>
  <c r="Q132" i="14"/>
  <c r="Q109" i="14"/>
  <c r="Q88" i="14"/>
  <c r="Q62" i="14"/>
  <c r="V6" i="14"/>
  <c r="O143" i="14"/>
  <c r="O181" i="14"/>
  <c r="Q124" i="14"/>
  <c r="Q108" i="14"/>
  <c r="Q83" i="14"/>
  <c r="Q48" i="14"/>
  <c r="W145" i="14"/>
  <c r="AL145" i="6" s="1"/>
  <c r="O49" i="14"/>
  <c r="Q183" i="14"/>
  <c r="Q166" i="14"/>
  <c r="Q150" i="14"/>
  <c r="Q129" i="14"/>
  <c r="Q117" i="14"/>
  <c r="Q96" i="14"/>
  <c r="Q84" i="14"/>
  <c r="Q75" i="14"/>
  <c r="Q58" i="14"/>
  <c r="Q44" i="14"/>
  <c r="M84" i="14"/>
  <c r="M172" i="14"/>
  <c r="Q179" i="14"/>
  <c r="Q162" i="14"/>
  <c r="Q137" i="14"/>
  <c r="Q125" i="14"/>
  <c r="Q105" i="14"/>
  <c r="Q92" i="14"/>
  <c r="Q71" i="14"/>
  <c r="Q54" i="14"/>
  <c r="Q40" i="14"/>
  <c r="M47" i="14"/>
  <c r="M53" i="14"/>
  <c r="O88" i="14"/>
  <c r="M164" i="14"/>
  <c r="M160" i="14"/>
  <c r="O177" i="14"/>
  <c r="Q174" i="14"/>
  <c r="Q158" i="14"/>
  <c r="Q146" i="14"/>
  <c r="Q133" i="14"/>
  <c r="Q113" i="14"/>
  <c r="Q100" i="14"/>
  <c r="Q66" i="14"/>
  <c r="Q52" i="14"/>
  <c r="Q36" i="14"/>
  <c r="O55" i="14"/>
  <c r="O68" i="14"/>
  <c r="M159" i="14"/>
  <c r="M121" i="14"/>
  <c r="O130" i="14"/>
  <c r="O93" i="14"/>
  <c r="Q177" i="14"/>
  <c r="Q169" i="14"/>
  <c r="Q161" i="14"/>
  <c r="Q153" i="14"/>
  <c r="Q74" i="14"/>
  <c r="Q65" i="14"/>
  <c r="Q57" i="14"/>
  <c r="Q51" i="14"/>
  <c r="Q43" i="14"/>
  <c r="Q35" i="14"/>
  <c r="Q23" i="14"/>
  <c r="O59" i="14"/>
  <c r="O63" i="14"/>
  <c r="O126" i="14"/>
  <c r="M107" i="14"/>
  <c r="Q145" i="14"/>
  <c r="Q136" i="14"/>
  <c r="Q128" i="14"/>
  <c r="Q120" i="14"/>
  <c r="Q112" i="14"/>
  <c r="Q103" i="14"/>
  <c r="Q95" i="14"/>
  <c r="Q87" i="14"/>
  <c r="Q34" i="14"/>
  <c r="Q18" i="14"/>
  <c r="M83" i="14"/>
  <c r="M89" i="14"/>
  <c r="M171" i="14"/>
  <c r="O147" i="14"/>
  <c r="Q182" i="14"/>
  <c r="Q173" i="14"/>
  <c r="Q165" i="14"/>
  <c r="Q157" i="14"/>
  <c r="Q149" i="14"/>
  <c r="Q78" i="14"/>
  <c r="Q70" i="14"/>
  <c r="Q61" i="14"/>
  <c r="Q53" i="14"/>
  <c r="Q47" i="14"/>
  <c r="Q39" i="14"/>
  <c r="Q31" i="14"/>
  <c r="Q14" i="14"/>
  <c r="M70" i="14"/>
  <c r="M43" i="14"/>
  <c r="M25" i="14"/>
  <c r="Q13" i="14"/>
  <c r="M16" i="14"/>
  <c r="Q22" i="14"/>
  <c r="Q130" i="14"/>
  <c r="Q63" i="14"/>
  <c r="AC32" i="14"/>
  <c r="AP30" i="6" s="1"/>
  <c r="M59" i="14"/>
  <c r="Q180" i="14"/>
  <c r="Q114" i="14"/>
  <c r="Q49" i="14"/>
  <c r="Q25" i="14"/>
  <c r="W55" i="14"/>
  <c r="AL55" i="6" s="1"/>
  <c r="M45" i="14"/>
  <c r="M183" i="14"/>
  <c r="Q163" i="14"/>
  <c r="Q97" i="14"/>
  <c r="I164" i="14"/>
  <c r="W162" i="14"/>
  <c r="AL162" i="6" s="1"/>
  <c r="M86" i="14"/>
  <c r="M141" i="14"/>
  <c r="M100" i="14"/>
  <c r="M44" i="14"/>
  <c r="M27" i="14"/>
  <c r="O145" i="14"/>
  <c r="W155" i="14"/>
  <c r="I161" i="14"/>
  <c r="W122" i="14"/>
  <c r="AL122" i="6" s="1"/>
  <c r="W36" i="14"/>
  <c r="M94" i="14"/>
  <c r="Q17" i="14"/>
  <c r="W15" i="14"/>
  <c r="X6" i="14"/>
  <c r="M162" i="14"/>
  <c r="M166" i="14"/>
  <c r="M38" i="14"/>
  <c r="W128" i="14"/>
  <c r="AL128" i="6" s="1"/>
  <c r="W78" i="14"/>
  <c r="AL78" i="6" s="1"/>
  <c r="W152" i="14"/>
  <c r="AL152" i="6" s="1"/>
  <c r="I25" i="14"/>
  <c r="Z25" i="14"/>
  <c r="O74" i="14"/>
  <c r="Z74" i="14"/>
  <c r="AN74" i="6" s="1"/>
  <c r="O65" i="14"/>
  <c r="Z65" i="14"/>
  <c r="AN65" i="6" s="1"/>
  <c r="O53" i="14"/>
  <c r="Z53" i="14"/>
  <c r="AN53" i="6" s="1"/>
  <c r="I35" i="14"/>
  <c r="Z35" i="14"/>
  <c r="AN33" i="6" s="1"/>
  <c r="O117" i="14"/>
  <c r="Z117" i="14"/>
  <c r="AN117" i="6" s="1"/>
  <c r="Z136" i="14"/>
  <c r="AN136" i="6" s="1"/>
  <c r="Z124" i="14"/>
  <c r="I124" i="14"/>
  <c r="I156" i="14"/>
  <c r="Z156" i="14"/>
  <c r="AN156" i="6" s="1"/>
  <c r="I148" i="14"/>
  <c r="Z148" i="14"/>
  <c r="AN148" i="6" s="1"/>
  <c r="I23" i="14"/>
  <c r="Z152" i="14"/>
  <c r="AN152" i="6" s="1"/>
  <c r="M50" i="14"/>
  <c r="M69" i="14"/>
  <c r="M158" i="14"/>
  <c r="M170" i="14"/>
  <c r="M179" i="14"/>
  <c r="M150" i="14"/>
  <c r="M140" i="14"/>
  <c r="M102" i="14"/>
  <c r="M82" i="14"/>
  <c r="M34" i="14"/>
  <c r="M14" i="14"/>
  <c r="Q33" i="14"/>
  <c r="Q26" i="14"/>
  <c r="M151" i="14"/>
  <c r="W151" i="14"/>
  <c r="AL151" i="6" s="1"/>
  <c r="M147" i="14"/>
  <c r="W147" i="14"/>
  <c r="AL147" i="6" s="1"/>
  <c r="W143" i="14"/>
  <c r="AL143" i="6" s="1"/>
  <c r="M134" i="14"/>
  <c r="W134" i="14"/>
  <c r="AL134" i="6" s="1"/>
  <c r="M126" i="14"/>
  <c r="W126" i="14"/>
  <c r="AL126" i="6" s="1"/>
  <c r="M114" i="14"/>
  <c r="W114" i="14"/>
  <c r="AL114" i="6" s="1"/>
  <c r="M110" i="14"/>
  <c r="W110" i="14"/>
  <c r="AL110" i="6" s="1"/>
  <c r="M101" i="14"/>
  <c r="W101" i="14"/>
  <c r="AL101" i="6" s="1"/>
  <c r="M97" i="14"/>
  <c r="W97" i="14"/>
  <c r="AL97" i="6" s="1"/>
  <c r="M81" i="14"/>
  <c r="W81" i="14"/>
  <c r="M76" i="14"/>
  <c r="W76" i="14"/>
  <c r="AL76" i="6" s="1"/>
  <c r="M63" i="14"/>
  <c r="W63" i="14"/>
  <c r="AL63" i="6" s="1"/>
  <c r="M9" i="14"/>
  <c r="W9" i="14"/>
  <c r="M49" i="14"/>
  <c r="W49" i="14"/>
  <c r="AL47" i="6" s="1"/>
  <c r="M37" i="14"/>
  <c r="W37" i="14"/>
  <c r="W17" i="14"/>
  <c r="AL14" i="6" s="1"/>
  <c r="I173" i="14"/>
  <c r="W173" i="14"/>
  <c r="AL173" i="6" s="1"/>
  <c r="I28" i="14"/>
  <c r="Z28" i="14"/>
  <c r="I24" i="14"/>
  <c r="Z24" i="14"/>
  <c r="AN21" i="6" s="1"/>
  <c r="I82" i="14"/>
  <c r="Z82" i="14"/>
  <c r="AN82" i="6" s="1"/>
  <c r="I73" i="14"/>
  <c r="Z73" i="14"/>
  <c r="I64" i="14"/>
  <c r="Z60" i="14"/>
  <c r="I46" i="14"/>
  <c r="Z46" i="14"/>
  <c r="I38" i="14"/>
  <c r="Z38" i="14"/>
  <c r="W161" i="14"/>
  <c r="AL161" i="6" s="1"/>
  <c r="W138" i="14"/>
  <c r="AL138" i="6" s="1"/>
  <c r="W8" i="14"/>
  <c r="W156" i="14"/>
  <c r="AL156" i="6" s="1"/>
  <c r="W144" i="14"/>
  <c r="I11" i="14"/>
  <c r="Z11" i="14"/>
  <c r="AN8" i="6" s="1"/>
  <c r="I20" i="14"/>
  <c r="Z20" i="14"/>
  <c r="O78" i="14"/>
  <c r="Z78" i="14"/>
  <c r="Z61" i="14"/>
  <c r="AN61" i="6" s="1"/>
  <c r="O51" i="14"/>
  <c r="Z51" i="14"/>
  <c r="AN49" i="6" s="1"/>
  <c r="I39" i="14"/>
  <c r="Z39" i="14"/>
  <c r="AN37" i="6" s="1"/>
  <c r="O121" i="14"/>
  <c r="Z121" i="14"/>
  <c r="AN121" i="6" s="1"/>
  <c r="O113" i="14"/>
  <c r="Z113" i="14"/>
  <c r="AN113" i="6" s="1"/>
  <c r="O109" i="14"/>
  <c r="Z109" i="14"/>
  <c r="AN109" i="6" s="1"/>
  <c r="Z141" i="14"/>
  <c r="AN141" i="6" s="1"/>
  <c r="I141" i="14"/>
  <c r="Z176" i="14"/>
  <c r="AN176" i="6" s="1"/>
  <c r="I168" i="14"/>
  <c r="Z168" i="14"/>
  <c r="AN168" i="6" s="1"/>
  <c r="I160" i="14"/>
  <c r="Z160" i="14"/>
  <c r="AN160" i="6" s="1"/>
  <c r="I152" i="14"/>
  <c r="I180" i="14"/>
  <c r="Z180" i="14"/>
  <c r="M64" i="14"/>
  <c r="M73" i="14"/>
  <c r="M90" i="14"/>
  <c r="M148" i="14"/>
  <c r="M115" i="14"/>
  <c r="M23" i="14"/>
  <c r="O11" i="14"/>
  <c r="O136" i="14"/>
  <c r="M154" i="14"/>
  <c r="W154" i="14"/>
  <c r="AL154" i="6" s="1"/>
  <c r="M146" i="14"/>
  <c r="W146" i="14"/>
  <c r="AL146" i="6" s="1"/>
  <c r="M125" i="14"/>
  <c r="W125" i="14"/>
  <c r="AL125" i="6" s="1"/>
  <c r="M113" i="14"/>
  <c r="W113" i="14"/>
  <c r="AL113" i="6" s="1"/>
  <c r="W109" i="14"/>
  <c r="AL109" i="6" s="1"/>
  <c r="M79" i="14"/>
  <c r="W79" i="14"/>
  <c r="AL79" i="6" s="1"/>
  <c r="M29" i="14"/>
  <c r="W29" i="14"/>
  <c r="AL26" i="6" s="1"/>
  <c r="M12" i="14"/>
  <c r="W12" i="14"/>
  <c r="M168" i="14"/>
  <c r="W168" i="14"/>
  <c r="AL168" i="6" s="1"/>
  <c r="O31" i="14"/>
  <c r="Z31" i="14"/>
  <c r="Z27" i="14"/>
  <c r="I27" i="14"/>
  <c r="I100" i="14"/>
  <c r="Z100" i="14"/>
  <c r="AN100" i="6" s="1"/>
  <c r="I119" i="14"/>
  <c r="O111" i="14"/>
  <c r="Z111" i="14"/>
  <c r="AN111" i="6" s="1"/>
  <c r="I107" i="14"/>
  <c r="Z107" i="14"/>
  <c r="AN107" i="6" s="1"/>
  <c r="O122" i="14"/>
  <c r="Z122" i="14"/>
  <c r="AN122" i="6" s="1"/>
  <c r="I174" i="14"/>
  <c r="I170" i="14"/>
  <c r="Z170" i="14"/>
  <c r="AN170" i="6" s="1"/>
  <c r="I166" i="14"/>
  <c r="Z166" i="14"/>
  <c r="AN166" i="6" s="1"/>
  <c r="I162" i="14"/>
  <c r="Z162" i="14"/>
  <c r="AN162" i="6" s="1"/>
  <c r="I154" i="14"/>
  <c r="Z154" i="14"/>
  <c r="AN154" i="6" s="1"/>
  <c r="I150" i="14"/>
  <c r="Z150" i="14"/>
  <c r="AN150" i="6" s="1"/>
  <c r="Z182" i="14"/>
  <c r="AN182" i="6" s="1"/>
  <c r="I182" i="14"/>
  <c r="Q8" i="14"/>
  <c r="AC8" i="14"/>
  <c r="Q28" i="14"/>
  <c r="AC28" i="14"/>
  <c r="AP25" i="6" s="1"/>
  <c r="Q19" i="14"/>
  <c r="AC19" i="14"/>
  <c r="Q15" i="14"/>
  <c r="AC15" i="14"/>
  <c r="I145" i="14"/>
  <c r="W112" i="14"/>
  <c r="AL112" i="6" s="1"/>
  <c r="Z174" i="14"/>
  <c r="AN174" i="6" s="1"/>
  <c r="W174" i="14"/>
  <c r="AL174" i="6" s="1"/>
  <c r="I29" i="14"/>
  <c r="Z29" i="14"/>
  <c r="O95" i="14"/>
  <c r="Z95" i="14"/>
  <c r="AN95" i="6" s="1"/>
  <c r="I95" i="14"/>
  <c r="Z83" i="14"/>
  <c r="AN83" i="6" s="1"/>
  <c r="I83" i="14"/>
  <c r="O70" i="14"/>
  <c r="Z70" i="14"/>
  <c r="AN70" i="6" s="1"/>
  <c r="O57" i="14"/>
  <c r="Z57" i="14"/>
  <c r="O47" i="14"/>
  <c r="Z47" i="14"/>
  <c r="AN47" i="6" s="1"/>
  <c r="O102" i="14"/>
  <c r="Z102" i="14"/>
  <c r="AN102" i="6" s="1"/>
  <c r="Z105" i="14"/>
  <c r="AN105" i="6" s="1"/>
  <c r="I172" i="14"/>
  <c r="Z172" i="14"/>
  <c r="AN172" i="6" s="1"/>
  <c r="M46" i="14"/>
  <c r="M127" i="14"/>
  <c r="M144" i="14"/>
  <c r="M152" i="14"/>
  <c r="M156" i="14"/>
  <c r="O164" i="14"/>
  <c r="M174" i="14"/>
  <c r="M131" i="14"/>
  <c r="M111" i="14"/>
  <c r="M98" i="14"/>
  <c r="M42" i="14"/>
  <c r="M18" i="14"/>
  <c r="O156" i="14"/>
  <c r="O180" i="14"/>
  <c r="Q30" i="14"/>
  <c r="AL157" i="6"/>
  <c r="M149" i="14"/>
  <c r="W149" i="14"/>
  <c r="AL149" i="6" s="1"/>
  <c r="W132" i="14"/>
  <c r="AL132" i="6" s="1"/>
  <c r="M124" i="14"/>
  <c r="W124" i="14"/>
  <c r="M120" i="14"/>
  <c r="W120" i="14"/>
  <c r="AL120" i="6" s="1"/>
  <c r="M108" i="14"/>
  <c r="W108" i="14"/>
  <c r="AL108" i="6" s="1"/>
  <c r="M91" i="14"/>
  <c r="W91" i="14"/>
  <c r="AL91" i="6" s="1"/>
  <c r="M74" i="14"/>
  <c r="W74" i="14"/>
  <c r="AL74" i="6" s="1"/>
  <c r="M51" i="14"/>
  <c r="W51" i="14"/>
  <c r="M39" i="14"/>
  <c r="W39" i="14"/>
  <c r="AL44" i="6" s="1"/>
  <c r="M35" i="14"/>
  <c r="W35" i="14"/>
  <c r="M28" i="14"/>
  <c r="W28" i="14"/>
  <c r="AL25" i="6" s="1"/>
  <c r="M24" i="14"/>
  <c r="W24" i="14"/>
  <c r="AL21" i="6" s="1"/>
  <c r="M19" i="14"/>
  <c r="W19" i="14"/>
  <c r="M167" i="14"/>
  <c r="W167" i="14"/>
  <c r="AL167" i="6" s="1"/>
  <c r="W163" i="14"/>
  <c r="AL163" i="6" s="1"/>
  <c r="O30" i="14"/>
  <c r="Z30" i="14"/>
  <c r="Z26" i="14"/>
  <c r="AN23" i="6" s="1"/>
  <c r="O96" i="14"/>
  <c r="Z96" i="14"/>
  <c r="AN96" i="6" s="1"/>
  <c r="I92" i="14"/>
  <c r="Z92" i="14"/>
  <c r="AN92" i="6" s="1"/>
  <c r="I88" i="14"/>
  <c r="Z88" i="14"/>
  <c r="AN88" i="6" s="1"/>
  <c r="I84" i="14"/>
  <c r="Z84" i="14"/>
  <c r="AN84" i="6" s="1"/>
  <c r="I79" i="14"/>
  <c r="Z79" i="14"/>
  <c r="AN79" i="6" s="1"/>
  <c r="I75" i="14"/>
  <c r="Z75" i="14"/>
  <c r="AN75" i="6" s="1"/>
  <c r="Z71" i="14"/>
  <c r="AN71" i="6" s="1"/>
  <c r="Z66" i="14"/>
  <c r="AN66" i="6" s="1"/>
  <c r="Z62" i="14"/>
  <c r="Z58" i="14"/>
  <c r="Z54" i="14"/>
  <c r="AN54" i="6" s="1"/>
  <c r="I48" i="14"/>
  <c r="Z48" i="14"/>
  <c r="I128" i="14"/>
  <c r="W106" i="14"/>
  <c r="AL106" i="6" s="1"/>
  <c r="W41" i="14"/>
  <c r="W20" i="14"/>
  <c r="Z164" i="14"/>
  <c r="AN164" i="6" s="1"/>
  <c r="Z119" i="14"/>
  <c r="AN119" i="6" s="1"/>
  <c r="AC24" i="14"/>
  <c r="AP21" i="6" s="1"/>
  <c r="Z40" i="14"/>
  <c r="AN64" i="6" s="1"/>
  <c r="Z32" i="14"/>
  <c r="AN32" i="6" s="1"/>
  <c r="O146" i="14"/>
  <c r="Z146" i="14"/>
  <c r="AN146" i="6" s="1"/>
  <c r="I142" i="14"/>
  <c r="Z142" i="14"/>
  <c r="AN142" i="6" s="1"/>
  <c r="O137" i="14"/>
  <c r="Z137" i="14"/>
  <c r="AN137" i="6" s="1"/>
  <c r="I133" i="14"/>
  <c r="Z133" i="14"/>
  <c r="AN133" i="6" s="1"/>
  <c r="O129" i="14"/>
  <c r="Z129" i="14"/>
  <c r="O173" i="14"/>
  <c r="Z173" i="14"/>
  <c r="AN173" i="6" s="1"/>
  <c r="I157" i="14"/>
  <c r="AC20" i="14"/>
  <c r="AP17" i="6" s="1"/>
  <c r="Q181" i="14"/>
  <c r="AC181" i="14"/>
  <c r="AP181" i="6" s="1"/>
  <c r="Q176" i="14"/>
  <c r="AC176" i="14"/>
  <c r="AP176" i="6" s="1"/>
  <c r="Q164" i="14"/>
  <c r="AC164" i="14"/>
  <c r="AP164" i="6" s="1"/>
  <c r="Q148" i="14"/>
  <c r="AC148" i="14"/>
  <c r="AP148" i="6" s="1"/>
  <c r="Q144" i="14"/>
  <c r="AC144" i="14"/>
  <c r="Q135" i="14"/>
  <c r="AC135" i="14"/>
  <c r="AP135" i="6" s="1"/>
  <c r="Q131" i="14"/>
  <c r="AC131" i="14"/>
  <c r="AP131" i="6" s="1"/>
  <c r="Q127" i="14"/>
  <c r="AC127" i="14"/>
  <c r="AP127" i="6" s="1"/>
  <c r="Q123" i="14"/>
  <c r="AC123" i="14"/>
  <c r="AP123" i="6" s="1"/>
  <c r="Q119" i="14"/>
  <c r="AC119" i="14"/>
  <c r="AP119" i="6" s="1"/>
  <c r="Q115" i="14"/>
  <c r="AC115" i="14"/>
  <c r="AP115" i="6" s="1"/>
  <c r="Q111" i="14"/>
  <c r="AC111" i="14"/>
  <c r="AP111" i="6" s="1"/>
  <c r="Q107" i="14"/>
  <c r="AC107" i="14"/>
  <c r="AP107" i="6" s="1"/>
  <c r="Q102" i="14"/>
  <c r="AC102" i="14"/>
  <c r="AP102" i="6" s="1"/>
  <c r="Q98" i="14"/>
  <c r="AC98" i="14"/>
  <c r="AP98" i="6" s="1"/>
  <c r="Q90" i="14"/>
  <c r="AC90" i="14"/>
  <c r="AP90" i="6" s="1"/>
  <c r="Q86" i="14"/>
  <c r="AC86" i="14"/>
  <c r="AP86" i="6" s="1"/>
  <c r="Q82" i="14"/>
  <c r="AC82" i="14"/>
  <c r="AP82" i="6" s="1"/>
  <c r="Q77" i="14"/>
  <c r="AC77" i="14"/>
  <c r="Q73" i="14"/>
  <c r="AC73" i="14"/>
  <c r="AP73" i="6" s="1"/>
  <c r="Q69" i="14"/>
  <c r="AC69" i="14"/>
  <c r="AP69" i="6" s="1"/>
  <c r="Q60" i="14"/>
  <c r="AC60" i="14"/>
  <c r="AP60" i="6" s="1"/>
  <c r="Q56" i="14"/>
  <c r="AC56" i="14"/>
  <c r="AP56" i="6" s="1"/>
  <c r="Q10" i="14"/>
  <c r="AC10" i="14"/>
  <c r="Q50" i="14"/>
  <c r="AC50" i="14"/>
  <c r="AP48" i="6" s="1"/>
  <c r="Q46" i="14"/>
  <c r="AC46" i="14"/>
  <c r="Q42" i="14"/>
  <c r="AC42" i="14"/>
  <c r="AP40" i="6" s="1"/>
  <c r="I99" i="14"/>
  <c r="AC29" i="14"/>
  <c r="AP26" i="6" s="1"/>
  <c r="AC16" i="14"/>
  <c r="AP13" i="6" s="1"/>
  <c r="I34" i="14"/>
  <c r="I140" i="14"/>
  <c r="I171" i="14"/>
  <c r="Z171" i="14"/>
  <c r="AN171" i="6" s="1"/>
  <c r="I167" i="14"/>
  <c r="I179" i="14"/>
  <c r="Q12" i="14"/>
  <c r="AC12" i="14"/>
  <c r="Q175" i="14"/>
  <c r="AC175" i="14"/>
  <c r="AP175" i="6" s="1"/>
  <c r="Q171" i="14"/>
  <c r="AC171" i="14"/>
  <c r="AP171" i="6" s="1"/>
  <c r="Q167" i="14"/>
  <c r="AC167" i="14"/>
  <c r="AP167" i="6" s="1"/>
  <c r="Q159" i="14"/>
  <c r="AC159" i="14"/>
  <c r="AP159" i="6" s="1"/>
  <c r="Q155" i="14"/>
  <c r="AC155" i="14"/>
  <c r="Q151" i="14"/>
  <c r="AC151" i="14"/>
  <c r="AP151" i="6" s="1"/>
  <c r="Q143" i="14"/>
  <c r="AC143" i="14"/>
  <c r="Q138" i="14"/>
  <c r="AC138" i="14"/>
  <c r="AP138" i="6" s="1"/>
  <c r="Q134" i="14"/>
  <c r="AC134" i="14"/>
  <c r="AP134" i="6" s="1"/>
  <c r="Q126" i="14"/>
  <c r="AC126" i="14"/>
  <c r="AP126" i="6" s="1"/>
  <c r="Q122" i="14"/>
  <c r="AC122" i="14"/>
  <c r="AP122" i="6" s="1"/>
  <c r="Q118" i="14"/>
  <c r="AC118" i="14"/>
  <c r="AP118" i="6" s="1"/>
  <c r="Q110" i="14"/>
  <c r="AC110" i="14"/>
  <c r="AP110" i="6" s="1"/>
  <c r="Q106" i="14"/>
  <c r="AC106" i="14"/>
  <c r="AP106" i="6" s="1"/>
  <c r="Q101" i="14"/>
  <c r="AC101" i="14"/>
  <c r="AP101" i="6" s="1"/>
  <c r="Q93" i="14"/>
  <c r="AC93" i="14"/>
  <c r="AP93" i="6" s="1"/>
  <c r="Q89" i="14"/>
  <c r="AC89" i="14"/>
  <c r="AP89" i="6" s="1"/>
  <c r="Q85" i="14"/>
  <c r="AC85" i="14"/>
  <c r="AP85" i="6" s="1"/>
  <c r="Q76" i="14"/>
  <c r="AC76" i="14"/>
  <c r="AP76" i="6" s="1"/>
  <c r="Q72" i="14"/>
  <c r="AC72" i="14"/>
  <c r="AP72" i="6" s="1"/>
  <c r="Q68" i="14"/>
  <c r="AC68" i="14"/>
  <c r="Q59" i="14"/>
  <c r="AC59" i="14"/>
  <c r="AP59" i="6" s="1"/>
  <c r="Q55" i="14"/>
  <c r="AC55" i="14"/>
  <c r="AP55" i="6" s="1"/>
  <c r="Q9" i="14"/>
  <c r="AC9" i="14"/>
  <c r="Q45" i="14"/>
  <c r="AC45" i="14"/>
  <c r="AP43" i="6" s="1"/>
  <c r="Q41" i="14"/>
  <c r="AC41" i="14"/>
  <c r="AP39" i="6" s="1"/>
  <c r="Q37" i="14"/>
  <c r="AC37" i="14"/>
  <c r="AP35" i="6" s="1"/>
  <c r="Z167" i="14"/>
  <c r="AN167" i="6" s="1"/>
  <c r="M26" i="14"/>
  <c r="I26" i="14"/>
  <c r="M22" i="14"/>
  <c r="M13" i="14"/>
  <c r="M177" i="14"/>
  <c r="I177" i="14"/>
  <c r="M169" i="14"/>
  <c r="I169" i="14"/>
  <c r="M165" i="14"/>
  <c r="I165" i="14"/>
  <c r="O8" i="14"/>
  <c r="I8" i="14"/>
  <c r="O98" i="14"/>
  <c r="I98" i="14"/>
  <c r="O86" i="14"/>
  <c r="I86" i="14"/>
  <c r="O77" i="14"/>
  <c r="O69" i="14"/>
  <c r="I69" i="14"/>
  <c r="O56" i="14"/>
  <c r="O10" i="14"/>
  <c r="I10" i="14"/>
  <c r="O50" i="14"/>
  <c r="I50" i="14"/>
  <c r="I101" i="14"/>
  <c r="O120" i="14"/>
  <c r="I120" i="14"/>
  <c r="O116" i="14"/>
  <c r="O112" i="14"/>
  <c r="I112" i="14"/>
  <c r="O103" i="14"/>
  <c r="I103" i="14"/>
  <c r="O144" i="14"/>
  <c r="I144" i="14"/>
  <c r="O135" i="14"/>
  <c r="O127" i="14"/>
  <c r="I127" i="14"/>
  <c r="O175" i="14"/>
  <c r="O163" i="14"/>
  <c r="I163" i="14"/>
  <c r="O159" i="14"/>
  <c r="I159" i="14"/>
  <c r="I155" i="14"/>
  <c r="O155" i="14"/>
  <c r="O151" i="14"/>
  <c r="I151" i="14"/>
  <c r="I183" i="14"/>
  <c r="O183" i="14"/>
  <c r="I97" i="14"/>
  <c r="I93" i="14"/>
  <c r="I89" i="14"/>
  <c r="I81" i="14"/>
  <c r="I76" i="14"/>
  <c r="I63" i="14"/>
  <c r="I59" i="14"/>
  <c r="I55" i="14"/>
  <c r="I9" i="14"/>
  <c r="I49" i="14"/>
  <c r="I41" i="14"/>
  <c r="I37" i="14"/>
  <c r="I147" i="14"/>
  <c r="I143" i="14"/>
  <c r="I130" i="14"/>
  <c r="I126" i="14"/>
  <c r="H6" i="14"/>
  <c r="I118" i="14"/>
  <c r="I114" i="14"/>
  <c r="I110" i="14"/>
  <c r="I106" i="14"/>
  <c r="M143" i="14"/>
  <c r="I111" i="14"/>
  <c r="I102" i="14"/>
  <c r="M11" i="14"/>
  <c r="M132" i="14"/>
  <c r="I122" i="14"/>
  <c r="M155" i="14"/>
  <c r="M17" i="14"/>
  <c r="I78" i="14"/>
  <c r="I74" i="14"/>
  <c r="I70" i="14"/>
  <c r="I53" i="14"/>
  <c r="I51" i="14"/>
  <c r="I47" i="14"/>
  <c r="I146" i="14"/>
  <c r="I121" i="14"/>
  <c r="I113" i="14"/>
  <c r="I109" i="14"/>
  <c r="I96" i="14"/>
  <c r="Q172" i="14"/>
  <c r="Q168" i="14"/>
  <c r="Q160" i="14"/>
  <c r="Q156" i="14"/>
  <c r="Q152" i="14"/>
  <c r="Q140" i="14"/>
  <c r="Q94" i="14"/>
  <c r="Q64" i="14"/>
  <c r="Q38" i="14"/>
  <c r="O133" i="14"/>
  <c r="O119" i="14"/>
  <c r="M128" i="14"/>
  <c r="M157" i="14"/>
  <c r="M103" i="14"/>
  <c r="M99" i="14"/>
  <c r="M145" i="14"/>
  <c r="M95" i="14"/>
  <c r="M10" i="14"/>
  <c r="O35" i="14"/>
  <c r="O24" i="14"/>
  <c r="O162" i="14"/>
  <c r="O79" i="14"/>
  <c r="O62" i="14"/>
  <c r="M163" i="14"/>
  <c r="O179" i="14"/>
  <c r="N6" i="14"/>
  <c r="O166" i="14"/>
  <c r="O26" i="14"/>
  <c r="M182" i="14"/>
  <c r="M173" i="14"/>
  <c r="O71" i="14"/>
  <c r="M119" i="14"/>
  <c r="O38" i="14"/>
  <c r="O34" i="14"/>
  <c r="O23" i="14"/>
  <c r="O169" i="14"/>
  <c r="O165" i="14"/>
  <c r="O161" i="14"/>
  <c r="O141" i="14"/>
  <c r="O124" i="14"/>
  <c r="O61" i="14"/>
  <c r="O39" i="14"/>
  <c r="O28" i="14"/>
  <c r="O142" i="14"/>
  <c r="M130" i="14"/>
  <c r="M118" i="14"/>
  <c r="M93" i="14"/>
  <c r="O37" i="14"/>
  <c r="O172" i="14"/>
  <c r="O168" i="14"/>
  <c r="O148" i="14"/>
  <c r="O140" i="14"/>
  <c r="O82" i="14"/>
  <c r="O64" i="14"/>
  <c r="O60" i="14"/>
  <c r="M109" i="14"/>
  <c r="M96" i="14"/>
  <c r="M92" i="14"/>
  <c r="M88" i="14"/>
  <c r="O25" i="14"/>
  <c r="O20" i="14"/>
  <c r="O171" i="14"/>
  <c r="O167" i="14"/>
  <c r="O106" i="14"/>
  <c r="O101" i="14"/>
  <c r="O97" i="14"/>
  <c r="O85" i="14"/>
  <c r="O81" i="14"/>
  <c r="O76" i="14"/>
  <c r="O9" i="14"/>
  <c r="O41" i="14"/>
  <c r="AL16" i="6" l="1"/>
  <c r="AP19" i="6"/>
  <c r="AP124" i="6"/>
  <c r="AP44" i="6"/>
  <c r="AN129" i="6"/>
  <c r="AL81" i="6"/>
  <c r="AL80" i="6"/>
  <c r="AL144" i="6"/>
  <c r="AP144" i="6"/>
  <c r="AN180" i="6"/>
  <c r="AL8" i="6"/>
  <c r="AP51" i="6"/>
  <c r="AP143" i="6"/>
  <c r="AL124" i="6"/>
  <c r="AN124" i="6"/>
  <c r="AP52" i="6"/>
  <c r="AN73" i="6"/>
  <c r="AP38" i="6"/>
  <c r="AP61" i="6"/>
  <c r="AP71" i="6"/>
  <c r="AN69" i="6"/>
  <c r="AN55" i="6"/>
  <c r="AP77" i="6"/>
  <c r="AN68" i="6"/>
  <c r="AP65" i="6"/>
  <c r="AP58" i="6"/>
  <c r="AP79" i="6"/>
  <c r="AP63" i="6"/>
  <c r="AL82" i="6"/>
  <c r="AP70" i="6"/>
  <c r="AL53" i="6"/>
  <c r="AP78" i="6"/>
  <c r="AN62" i="6"/>
  <c r="AN78" i="6"/>
  <c r="AP49" i="6"/>
  <c r="AP36" i="6"/>
  <c r="AL70" i="6"/>
  <c r="AP74" i="6"/>
  <c r="AP15" i="6"/>
  <c r="AL15" i="6"/>
  <c r="AP155" i="6"/>
  <c r="AL155" i="6"/>
  <c r="AP68" i="6"/>
  <c r="AL36" i="6"/>
  <c r="AL49" i="6"/>
  <c r="AN27" i="6"/>
  <c r="AL17" i="6"/>
  <c r="AN38" i="6"/>
  <c r="AN28" i="6"/>
  <c r="AL37" i="6"/>
  <c r="AN26" i="6"/>
  <c r="AP41" i="6"/>
  <c r="AP32" i="6"/>
  <c r="AP50" i="6"/>
  <c r="AP16" i="6"/>
  <c r="AP29" i="6"/>
  <c r="AL12" i="6"/>
  <c r="AN29" i="6"/>
  <c r="AP45" i="6"/>
  <c r="AP20" i="6"/>
  <c r="AL19" i="6"/>
  <c r="AP8" i="6"/>
  <c r="AL20" i="6"/>
  <c r="AL41" i="6"/>
  <c r="AN30" i="6"/>
  <c r="AN24" i="6"/>
  <c r="AN25" i="6"/>
  <c r="AP10" i="6"/>
  <c r="AN51" i="6"/>
  <c r="AN20" i="6"/>
  <c r="AP24" i="6"/>
  <c r="AP42" i="6"/>
  <c r="AN35" i="6"/>
  <c r="AL24" i="6"/>
  <c r="AN31" i="6"/>
  <c r="AP9" i="6"/>
  <c r="AN46" i="6"/>
  <c r="AP12" i="6"/>
  <c r="AL29" i="6"/>
  <c r="AL51" i="6"/>
  <c r="AP37" i="6"/>
  <c r="AP28" i="6"/>
  <c r="AP46" i="6"/>
  <c r="AN39" i="6"/>
  <c r="AN48" i="6"/>
  <c r="AC186" i="14"/>
  <c r="Q185" i="14"/>
  <c r="AC6" i="14"/>
  <c r="Q6" i="14"/>
  <c r="G15" i="14" l="1"/>
  <c r="Z15" i="14" s="1"/>
  <c r="X182" i="6"/>
  <c r="X132" i="6"/>
  <c r="O15" i="14" l="1"/>
  <c r="I15" i="14"/>
  <c r="Y132" i="6"/>
  <c r="G132" i="14"/>
  <c r="F123" i="14"/>
  <c r="X96" i="6"/>
  <c r="W123" i="14" l="1"/>
  <c r="M123" i="14"/>
  <c r="O132" i="14"/>
  <c r="I132" i="14"/>
  <c r="Z132" i="14"/>
  <c r="X88" i="6"/>
  <c r="X89" i="6"/>
  <c r="X90" i="6"/>
  <c r="X91" i="6"/>
  <c r="X92" i="6"/>
  <c r="X93" i="6"/>
  <c r="AA93" i="6" s="1"/>
  <c r="AL123" i="6" l="1"/>
  <c r="AN132" i="6"/>
  <c r="Y32" i="6"/>
  <c r="Y33" i="6"/>
  <c r="Y35" i="6"/>
  <c r="Y36" i="6"/>
  <c r="Y37" i="6"/>
  <c r="Y38" i="6"/>
  <c r="Y39" i="6"/>
  <c r="Y44" i="6"/>
  <c r="Y45" i="6"/>
  <c r="Y46" i="6"/>
  <c r="Y47" i="6"/>
  <c r="Y48" i="6"/>
  <c r="Y49" i="6"/>
  <c r="Y51" i="6"/>
  <c r="Y52" i="6"/>
  <c r="Y53" i="6"/>
  <c r="Y54" i="6"/>
  <c r="Y55" i="6"/>
  <c r="Y56" i="6"/>
  <c r="Y57" i="6"/>
  <c r="Y58" i="6"/>
  <c r="Y59" i="6"/>
  <c r="Y60" i="6"/>
  <c r="AA60" i="6" s="1"/>
  <c r="Y61" i="6"/>
  <c r="Y62" i="6"/>
  <c r="Y63" i="6"/>
  <c r="Y64" i="6"/>
  <c r="Y65" i="6"/>
  <c r="AA66" i="6"/>
  <c r="Y68" i="6"/>
  <c r="Y69" i="6"/>
  <c r="Y70" i="6"/>
  <c r="Y71" i="6"/>
  <c r="Y73" i="6"/>
  <c r="Y74" i="6"/>
  <c r="Y75" i="6"/>
  <c r="Y76" i="6"/>
  <c r="Y77" i="6"/>
  <c r="Y78" i="6"/>
  <c r="Y79" i="6"/>
  <c r="Y81" i="6"/>
  <c r="Y82" i="6"/>
  <c r="Y83" i="6"/>
  <c r="Y84" i="6"/>
  <c r="Y85" i="6"/>
  <c r="Y86" i="6"/>
  <c r="X75" i="6" l="1"/>
  <c r="X74" i="6"/>
  <c r="X73" i="6"/>
  <c r="U72" i="6"/>
  <c r="X72" i="6" l="1"/>
  <c r="F72" i="14"/>
  <c r="AA75" i="6"/>
  <c r="AA73" i="6"/>
  <c r="AA74" i="6"/>
  <c r="Y127" i="6"/>
  <c r="Y126" i="6"/>
  <c r="X126" i="6"/>
  <c r="Y105" i="6"/>
  <c r="W72" i="14" l="1"/>
  <c r="M72" i="14"/>
  <c r="O57" i="6"/>
  <c r="U54" i="6"/>
  <c r="X57" i="6" l="1"/>
  <c r="F57" i="14"/>
  <c r="W57" i="14" l="1"/>
  <c r="I57" i="14"/>
  <c r="X119" i="6"/>
  <c r="AL57" i="6" l="1"/>
  <c r="AL72" i="6"/>
  <c r="S87" i="6"/>
  <c r="U87" i="6"/>
  <c r="F66" i="14"/>
  <c r="Y87" i="6" l="1"/>
  <c r="G87" i="14"/>
  <c r="W66" i="14"/>
  <c r="M66" i="14"/>
  <c r="I66" i="14"/>
  <c r="X87" i="6"/>
  <c r="F87" i="14"/>
  <c r="AL66" i="6" l="1"/>
  <c r="AL75" i="6"/>
  <c r="AA87" i="6"/>
  <c r="M87" i="14"/>
  <c r="W87" i="14"/>
  <c r="O87" i="14"/>
  <c r="I87" i="14"/>
  <c r="Z87" i="14"/>
  <c r="AN87" i="6" l="1"/>
  <c r="AL87" i="6"/>
  <c r="P43" i="6"/>
  <c r="G45" i="14" s="1"/>
  <c r="Z45" i="14" l="1"/>
  <c r="O45" i="14"/>
  <c r="I45" i="14"/>
  <c r="Y43" i="6"/>
  <c r="X52" i="6"/>
  <c r="AA52" i="6" s="1"/>
  <c r="X49" i="6"/>
  <c r="X48" i="6"/>
  <c r="X47" i="6"/>
  <c r="X46" i="6"/>
  <c r="X45" i="6"/>
  <c r="X44" i="6"/>
  <c r="X43" i="6"/>
  <c r="X59" i="6"/>
  <c r="X53" i="6"/>
  <c r="X86" i="6"/>
  <c r="R176" i="6"/>
  <c r="X127" i="6"/>
  <c r="AN45" i="6" l="1"/>
  <c r="F176" i="14"/>
  <c r="AA43" i="6"/>
  <c r="AA48" i="6"/>
  <c r="AA46" i="6"/>
  <c r="AA44" i="6"/>
  <c r="AA47" i="6"/>
  <c r="AA45" i="6"/>
  <c r="AA49" i="6"/>
  <c r="M176" i="14" l="1"/>
  <c r="I176" i="14"/>
  <c r="W176" i="14"/>
  <c r="AL176" i="6" s="1"/>
  <c r="N51" i="6"/>
  <c r="AA51" i="6" l="1"/>
  <c r="Y88" i="6" l="1"/>
  <c r="AA88" i="6" s="1"/>
  <c r="R129" i="6"/>
  <c r="F129" i="14" l="1"/>
  <c r="Y161" i="6"/>
  <c r="AA161" i="6" s="1"/>
  <c r="W129" i="14" l="1"/>
  <c r="I129" i="14"/>
  <c r="M129" i="14"/>
  <c r="Y176" i="6"/>
  <c r="X176" i="6"/>
  <c r="S14" i="6"/>
  <c r="Y14" i="6" s="1"/>
  <c r="S15" i="6"/>
  <c r="V11" i="6"/>
  <c r="Y11" i="6" s="1"/>
  <c r="V10" i="6"/>
  <c r="V9" i="6"/>
  <c r="R68" i="6"/>
  <c r="X68" i="6" s="1"/>
  <c r="U85" i="6"/>
  <c r="F85" i="14" s="1"/>
  <c r="N83" i="6"/>
  <c r="X83" i="6" s="1"/>
  <c r="G18" i="14" l="1"/>
  <c r="Z18" i="14" s="1"/>
  <c r="Y15" i="6"/>
  <c r="AL129" i="6"/>
  <c r="F68" i="14"/>
  <c r="G14" i="14"/>
  <c r="M85" i="14"/>
  <c r="W85" i="14"/>
  <c r="AL85" i="6" s="1"/>
  <c r="I85" i="14"/>
  <c r="AA14" i="6"/>
  <c r="G17" i="14"/>
  <c r="G158" i="14"/>
  <c r="V134" i="6"/>
  <c r="G134" i="14" s="1"/>
  <c r="Y142" i="6"/>
  <c r="Y148" i="6"/>
  <c r="S153" i="6"/>
  <c r="G138" i="14"/>
  <c r="O138" i="14" s="1"/>
  <c r="U137" i="6"/>
  <c r="Y129" i="6"/>
  <c r="X130" i="6"/>
  <c r="X129" i="6"/>
  <c r="I18" i="14" l="1"/>
  <c r="O18" i="14"/>
  <c r="AN15" i="6"/>
  <c r="AN18" i="6"/>
  <c r="Z134" i="14"/>
  <c r="AN134" i="6" s="1"/>
  <c r="O134" i="14"/>
  <c r="I134" i="14"/>
  <c r="M68" i="14"/>
  <c r="W68" i="14"/>
  <c r="I68" i="14"/>
  <c r="F137" i="14"/>
  <c r="Z138" i="14"/>
  <c r="AN138" i="6" s="1"/>
  <c r="I138" i="14"/>
  <c r="G153" i="14"/>
  <c r="I158" i="14"/>
  <c r="Z158" i="14"/>
  <c r="AN158" i="6" s="1"/>
  <c r="O158" i="14"/>
  <c r="I17" i="14"/>
  <c r="O17" i="14"/>
  <c r="Z17" i="14"/>
  <c r="Z14" i="14"/>
  <c r="O14" i="14"/>
  <c r="I14" i="14"/>
  <c r="Y153" i="6"/>
  <c r="Y134" i="6"/>
  <c r="AA134" i="6" s="1"/>
  <c r="Y158" i="6"/>
  <c r="AA129" i="6"/>
  <c r="N22" i="6"/>
  <c r="N20" i="6"/>
  <c r="AN11" i="6" l="1"/>
  <c r="AL68" i="6"/>
  <c r="AL42" i="6"/>
  <c r="AN14" i="6"/>
  <c r="AN17" i="6"/>
  <c r="W137" i="14"/>
  <c r="AL137" i="6" s="1"/>
  <c r="M137" i="14"/>
  <c r="I137" i="14"/>
  <c r="Z153" i="14"/>
  <c r="AN153" i="6" s="1"/>
  <c r="O153" i="14"/>
  <c r="I153" i="14"/>
  <c r="Y169" i="6" l="1"/>
  <c r="AA169" i="6" s="1"/>
  <c r="N169" i="6"/>
  <c r="Y167" i="6"/>
  <c r="Y166" i="6"/>
  <c r="Y165" i="6"/>
  <c r="Y164" i="6"/>
  <c r="Y172" i="6"/>
  <c r="Y170" i="6"/>
  <c r="Y168" i="6"/>
  <c r="Y163" i="6"/>
  <c r="Y162" i="6"/>
  <c r="Y92" i="6" l="1"/>
  <c r="AA92" i="6" s="1"/>
  <c r="V91" i="6"/>
  <c r="Y89" i="6"/>
  <c r="AA89" i="6" s="1"/>
  <c r="S90" i="6"/>
  <c r="G90" i="14" s="1"/>
  <c r="Z90" i="14" l="1"/>
  <c r="I90" i="14"/>
  <c r="O90" i="14"/>
  <c r="G91" i="14"/>
  <c r="Y90" i="6"/>
  <c r="AA90" i="6" s="1"/>
  <c r="Y91" i="6"/>
  <c r="AA91" i="6" s="1"/>
  <c r="AN90" i="6" l="1"/>
  <c r="Z91" i="14"/>
  <c r="AN91" i="6" s="1"/>
  <c r="I91" i="14"/>
  <c r="O91" i="14"/>
  <c r="R181" i="6"/>
  <c r="X164" i="6"/>
  <c r="U135" i="6"/>
  <c r="AA158" i="6"/>
  <c r="F135" i="14" l="1"/>
  <c r="X181" i="6"/>
  <c r="F181" i="14"/>
  <c r="Y106" i="6"/>
  <c r="Y101" i="6"/>
  <c r="W181" i="14" l="1"/>
  <c r="M181" i="14"/>
  <c r="I181" i="14"/>
  <c r="W135" i="14"/>
  <c r="I135" i="14"/>
  <c r="M135" i="14"/>
  <c r="AL181" i="6" l="1"/>
  <c r="AL135" i="6"/>
  <c r="AA17" i="6"/>
  <c r="N17" i="6"/>
  <c r="X123" i="6" l="1"/>
  <c r="U105" i="6"/>
  <c r="X122" i="6"/>
  <c r="AA122" i="6"/>
  <c r="V108" i="6"/>
  <c r="G108" i="14" s="1"/>
  <c r="AA107" i="6"/>
  <c r="AA100" i="6"/>
  <c r="O108" i="14" l="1"/>
  <c r="Z108" i="14"/>
  <c r="AN108" i="6" s="1"/>
  <c r="I108" i="14"/>
  <c r="F105" i="14"/>
  <c r="Y123" i="6"/>
  <c r="G123" i="14"/>
  <c r="I123" i="14" l="1"/>
  <c r="O123" i="14"/>
  <c r="W105" i="14"/>
  <c r="M105" i="14"/>
  <c r="I105" i="14"/>
  <c r="AA76" i="6"/>
  <c r="X63" i="6"/>
  <c r="AL104" i="6" l="1"/>
  <c r="AL105" i="6"/>
  <c r="X78" i="6"/>
  <c r="AA78" i="6"/>
  <c r="N78" i="6" l="1"/>
  <c r="U65" i="6"/>
  <c r="X65" i="6" l="1"/>
  <c r="AA65" i="6" s="1"/>
  <c r="F65" i="14"/>
  <c r="W65" i="14" l="1"/>
  <c r="I65" i="14"/>
  <c r="M65" i="14"/>
  <c r="Y20" i="6"/>
  <c r="Y25" i="6"/>
  <c r="AA25" i="6" s="1"/>
  <c r="Y22" i="6"/>
  <c r="AL65" i="6" l="1"/>
  <c r="AL39" i="6"/>
  <c r="X109" i="6"/>
  <c r="X105" i="6"/>
  <c r="AA105" i="6" s="1"/>
  <c r="Y108" i="6"/>
  <c r="Y97" i="6"/>
  <c r="X55" i="6"/>
  <c r="AA55" i="6" s="1"/>
  <c r="AA171" i="6"/>
  <c r="Y124" i="6"/>
  <c r="R175" i="6"/>
  <c r="F175" i="14" s="1"/>
  <c r="X170" i="6"/>
  <c r="AA170" i="6" s="1"/>
  <c r="X163" i="6"/>
  <c r="AA163" i="6" s="1"/>
  <c r="X173" i="6"/>
  <c r="AA173" i="6" s="1"/>
  <c r="X128" i="6"/>
  <c r="AA128" i="6" s="1"/>
  <c r="AA182" i="6"/>
  <c r="AA181" i="6"/>
  <c r="AA180" i="6"/>
  <c r="AA172" i="6"/>
  <c r="AA160" i="6"/>
  <c r="AA157" i="6"/>
  <c r="AA154" i="6"/>
  <c r="AA153" i="6"/>
  <c r="AA152" i="6"/>
  <c r="AA151" i="6"/>
  <c r="AA150" i="6"/>
  <c r="AA144" i="6"/>
  <c r="AA143" i="6"/>
  <c r="AA130" i="6"/>
  <c r="AA119" i="6"/>
  <c r="AA118" i="6"/>
  <c r="AA117" i="6"/>
  <c r="AA114" i="6"/>
  <c r="AA106" i="6"/>
  <c r="AA96" i="6"/>
  <c r="AA94" i="6"/>
  <c r="AA86" i="6"/>
  <c r="AA83" i="6"/>
  <c r="AA82" i="6"/>
  <c r="AA68" i="6"/>
  <c r="AA63" i="6"/>
  <c r="AA62" i="6"/>
  <c r="AA61" i="6"/>
  <c r="AA53" i="6"/>
  <c r="AA32" i="6"/>
  <c r="AA31" i="6"/>
  <c r="AA30" i="6"/>
  <c r="U136" i="6"/>
  <c r="F136" i="14" l="1"/>
  <c r="F191" i="14" s="1"/>
  <c r="W175" i="14"/>
  <c r="M175" i="14"/>
  <c r="I175" i="14"/>
  <c r="X175" i="6"/>
  <c r="AA175" i="6" s="1"/>
  <c r="AL175" i="6" l="1"/>
  <c r="W136" i="14"/>
  <c r="I136" i="14"/>
  <c r="M136" i="14"/>
  <c r="M187" i="14" l="1"/>
  <c r="AL136" i="6"/>
  <c r="X137" i="6"/>
  <c r="X136" i="6"/>
  <c r="Y141" i="6" l="1"/>
  <c r="AA141" i="6" s="1"/>
  <c r="Y140" i="6"/>
  <c r="AA140" i="6" s="1"/>
  <c r="AA138" i="6"/>
  <c r="AA137" i="6"/>
  <c r="AA136" i="6"/>
  <c r="X135" i="6"/>
  <c r="Y135" i="6"/>
  <c r="AA179" i="6"/>
  <c r="AA177" i="6"/>
  <c r="AA176" i="6"/>
  <c r="AA168" i="6"/>
  <c r="AA167" i="6"/>
  <c r="AA166" i="6"/>
  <c r="AA165" i="6"/>
  <c r="AA164" i="6"/>
  <c r="AA155" i="6"/>
  <c r="AA148" i="6"/>
  <c r="AA147" i="6"/>
  <c r="AA146" i="6"/>
  <c r="AA142" i="6"/>
  <c r="AA133" i="6"/>
  <c r="AA132" i="6"/>
  <c r="AA131" i="6"/>
  <c r="AA127" i="6"/>
  <c r="AA126" i="6"/>
  <c r="AA124" i="6"/>
  <c r="AA123" i="6"/>
  <c r="AA121" i="6"/>
  <c r="AA115" i="6"/>
  <c r="AA109" i="6"/>
  <c r="AA108" i="6"/>
  <c r="AA102" i="6"/>
  <c r="AA101" i="6"/>
  <c r="AA99" i="6"/>
  <c r="AA97" i="6"/>
  <c r="AA81" i="6"/>
  <c r="AA59" i="6"/>
  <c r="AA57" i="6"/>
  <c r="AA39" i="6"/>
  <c r="AA37" i="6"/>
  <c r="AA36" i="6"/>
  <c r="AA35" i="6"/>
  <c r="AA33" i="6"/>
  <c r="AA22" i="6"/>
  <c r="AA21" i="6"/>
  <c r="AA20" i="6"/>
  <c r="AA11" i="6"/>
  <c r="AA15" i="6"/>
  <c r="AA135" i="6" l="1"/>
  <c r="N180" i="6" l="1"/>
  <c r="N181" i="6"/>
  <c r="N182" i="6"/>
  <c r="N183" i="6"/>
  <c r="X183" i="6" s="1"/>
  <c r="AA183" i="6" s="1"/>
  <c r="M6" i="6" l="1"/>
  <c r="N179" i="6"/>
  <c r="N11" i="6"/>
  <c r="N12" i="6"/>
  <c r="N14" i="6"/>
  <c r="N15" i="6"/>
  <c r="N21" i="6"/>
  <c r="N23" i="6"/>
  <c r="N24" i="6"/>
  <c r="Y24" i="6" s="1"/>
  <c r="AA24" i="6" s="1"/>
  <c r="N25" i="6"/>
  <c r="N26" i="6"/>
  <c r="Y26" i="6" s="1"/>
  <c r="AA26" i="6" s="1"/>
  <c r="N29" i="6"/>
  <c r="N32" i="6"/>
  <c r="N33" i="6"/>
  <c r="N35" i="6"/>
  <c r="N36" i="6"/>
  <c r="N37" i="6"/>
  <c r="N39" i="6"/>
  <c r="N52" i="6"/>
  <c r="N53" i="6"/>
  <c r="N57" i="6"/>
  <c r="N59" i="6"/>
  <c r="N63" i="6"/>
  <c r="N64" i="6"/>
  <c r="X64" i="6" s="1"/>
  <c r="AA64" i="6" s="1"/>
  <c r="N65" i="6"/>
  <c r="N66" i="6"/>
  <c r="N68" i="6"/>
  <c r="N79" i="6"/>
  <c r="X79" i="6" s="1"/>
  <c r="AA79" i="6" s="1"/>
  <c r="N81" i="6"/>
  <c r="N82" i="6"/>
  <c r="N84" i="6"/>
  <c r="X84" i="6" s="1"/>
  <c r="AA84" i="6" s="1"/>
  <c r="N85" i="6"/>
  <c r="X85" i="6" s="1"/>
  <c r="AA85" i="6" s="1"/>
  <c r="N87" i="6"/>
  <c r="N88" i="6"/>
  <c r="N89" i="6"/>
  <c r="N90" i="6"/>
  <c r="N91" i="6"/>
  <c r="N93" i="6"/>
  <c r="N95" i="6"/>
  <c r="X95" i="6" s="1"/>
  <c r="AA95" i="6" s="1"/>
  <c r="N96" i="6"/>
  <c r="N97" i="6"/>
  <c r="N98" i="6"/>
  <c r="Y98" i="6" s="1"/>
  <c r="AA98" i="6" s="1"/>
  <c r="N99" i="6"/>
  <c r="N100" i="6"/>
  <c r="N101" i="6"/>
  <c r="N102" i="6"/>
  <c r="N103" i="6"/>
  <c r="X103" i="6" s="1"/>
  <c r="AA103" i="6" s="1"/>
  <c r="N105" i="6"/>
  <c r="N106" i="6"/>
  <c r="N107" i="6"/>
  <c r="N108" i="6"/>
  <c r="N109" i="6"/>
  <c r="N110" i="6"/>
  <c r="Y110" i="6" s="1"/>
  <c r="AA110" i="6" s="1"/>
  <c r="N111" i="6"/>
  <c r="Y111" i="6" s="1"/>
  <c r="AA111" i="6" s="1"/>
  <c r="N112" i="6"/>
  <c r="Y112" i="6" s="1"/>
  <c r="AA112" i="6" s="1"/>
  <c r="N113" i="6"/>
  <c r="X113" i="6" s="1"/>
  <c r="AA113" i="6" s="1"/>
  <c r="N114" i="6"/>
  <c r="N118" i="6"/>
  <c r="N119" i="6"/>
  <c r="N122" i="6"/>
  <c r="N123" i="6"/>
  <c r="N124" i="6"/>
  <c r="N126" i="6"/>
  <c r="N127" i="6"/>
  <c r="N128" i="6"/>
  <c r="N129" i="6"/>
  <c r="N130" i="6"/>
  <c r="N132" i="6"/>
  <c r="N133" i="6"/>
  <c r="N134" i="6"/>
  <c r="N135" i="6"/>
  <c r="N142" i="6"/>
  <c r="N143" i="6"/>
  <c r="N144" i="6"/>
  <c r="N145" i="6"/>
  <c r="X145" i="6" s="1"/>
  <c r="AA145" i="6" s="1"/>
  <c r="N146" i="6"/>
  <c r="N147" i="6"/>
  <c r="N148" i="6"/>
  <c r="N150" i="6"/>
  <c r="N151" i="6"/>
  <c r="N152" i="6"/>
  <c r="N153" i="6"/>
  <c r="N154" i="6"/>
  <c r="N155" i="6"/>
  <c r="N156" i="6"/>
  <c r="X156" i="6" s="1"/>
  <c r="AA156" i="6" s="1"/>
  <c r="N157" i="6"/>
  <c r="N158" i="6"/>
  <c r="N159" i="6"/>
  <c r="Y159" i="6" s="1"/>
  <c r="AA159" i="6" s="1"/>
  <c r="N160" i="6"/>
  <c r="N161" i="6"/>
  <c r="N162" i="6"/>
  <c r="X162" i="6" s="1"/>
  <c r="AA162" i="6" s="1"/>
  <c r="N163" i="6"/>
  <c r="N164" i="6"/>
  <c r="N165" i="6"/>
  <c r="N166" i="6"/>
  <c r="N167" i="6"/>
  <c r="N168" i="6"/>
  <c r="N170" i="6"/>
  <c r="N172" i="6"/>
  <c r="N173" i="6"/>
  <c r="N174" i="6"/>
  <c r="X174" i="6" s="1"/>
  <c r="AA174" i="6" s="1"/>
  <c r="N175" i="6"/>
  <c r="N176" i="6"/>
  <c r="N177" i="6"/>
  <c r="P106" i="5" l="1"/>
  <c r="O106" i="5"/>
  <c r="M106" i="5"/>
  <c r="L106" i="5"/>
  <c r="Q101" i="5"/>
  <c r="N101" i="5"/>
  <c r="I101" i="5"/>
  <c r="K101" i="5" s="1"/>
  <c r="R101" i="5" s="1"/>
  <c r="Q100" i="5"/>
  <c r="N100" i="5"/>
  <c r="I100" i="5"/>
  <c r="K100" i="5" s="1"/>
  <c r="R100" i="5" s="1"/>
  <c r="Q96" i="5"/>
  <c r="N96" i="5"/>
  <c r="I96" i="5"/>
  <c r="K96" i="5" s="1"/>
  <c r="Q95" i="5"/>
  <c r="N95" i="5"/>
  <c r="I95" i="5"/>
  <c r="K95" i="5" s="1"/>
  <c r="R95" i="5" s="1"/>
  <c r="Q94" i="5"/>
  <c r="N94" i="5"/>
  <c r="I94" i="5"/>
  <c r="K94" i="5" s="1"/>
  <c r="Q93" i="5"/>
  <c r="N93" i="5"/>
  <c r="I93" i="5"/>
  <c r="K93" i="5" s="1"/>
  <c r="Q92" i="5"/>
  <c r="N92" i="5"/>
  <c r="I92" i="5"/>
  <c r="K92" i="5" s="1"/>
  <c r="Q91" i="5"/>
  <c r="N91" i="5"/>
  <c r="I91" i="5"/>
  <c r="K91" i="5" s="1"/>
  <c r="Q90" i="5"/>
  <c r="N90" i="5"/>
  <c r="I90" i="5"/>
  <c r="K90" i="5" s="1"/>
  <c r="R90" i="5" s="1"/>
  <c r="Q89" i="5"/>
  <c r="N89" i="5"/>
  <c r="I89" i="5"/>
  <c r="K89" i="5" s="1"/>
  <c r="Q88" i="5"/>
  <c r="N88" i="5"/>
  <c r="I88" i="5"/>
  <c r="K88" i="5" s="1"/>
  <c r="Q87" i="5"/>
  <c r="N87" i="5"/>
  <c r="I87" i="5"/>
  <c r="K87" i="5" s="1"/>
  <c r="Q86" i="5"/>
  <c r="N86" i="5"/>
  <c r="I86" i="5"/>
  <c r="K86" i="5" s="1"/>
  <c r="Q85" i="5"/>
  <c r="N85" i="5"/>
  <c r="I85" i="5"/>
  <c r="K85" i="5" s="1"/>
  <c r="Q84" i="5"/>
  <c r="N84" i="5"/>
  <c r="I84" i="5"/>
  <c r="K84" i="5" s="1"/>
  <c r="Q82" i="5"/>
  <c r="N82" i="5"/>
  <c r="I82" i="5"/>
  <c r="K82" i="5" s="1"/>
  <c r="R82" i="5" s="1"/>
  <c r="Q81" i="5"/>
  <c r="N81" i="5"/>
  <c r="I81" i="5"/>
  <c r="K81" i="5" s="1"/>
  <c r="R81" i="5" s="1"/>
  <c r="Q80" i="5"/>
  <c r="N80" i="5"/>
  <c r="I80" i="5"/>
  <c r="K80" i="5" s="1"/>
  <c r="Q79" i="5"/>
  <c r="N79" i="5"/>
  <c r="I79" i="5"/>
  <c r="K79" i="5" s="1"/>
  <c r="Q78" i="5"/>
  <c r="N78" i="5"/>
  <c r="I78" i="5"/>
  <c r="K78" i="5" s="1"/>
  <c r="R78" i="5" s="1"/>
  <c r="Q77" i="5"/>
  <c r="N77" i="5"/>
  <c r="I77" i="5"/>
  <c r="K77" i="5" s="1"/>
  <c r="R77" i="5" s="1"/>
  <c r="Q76" i="5"/>
  <c r="N76" i="5"/>
  <c r="I76" i="5"/>
  <c r="K76" i="5" s="1"/>
  <c r="R76" i="5" s="1"/>
  <c r="Q75" i="5"/>
  <c r="N75" i="5"/>
  <c r="I75" i="5"/>
  <c r="K75" i="5" s="1"/>
  <c r="Q74" i="5"/>
  <c r="N74" i="5"/>
  <c r="I74" i="5"/>
  <c r="K74" i="5" s="1"/>
  <c r="R74" i="5" s="1"/>
  <c r="Q73" i="5"/>
  <c r="N73" i="5"/>
  <c r="I73" i="5"/>
  <c r="K73" i="5" s="1"/>
  <c r="R73" i="5" s="1"/>
  <c r="Q72" i="5"/>
  <c r="N72" i="5"/>
  <c r="I72" i="5"/>
  <c r="K72" i="5" s="1"/>
  <c r="R72" i="5" s="1"/>
  <c r="Q71" i="5"/>
  <c r="N71" i="5"/>
  <c r="I71" i="5"/>
  <c r="K71" i="5" s="1"/>
  <c r="Q69" i="5"/>
  <c r="N69" i="5"/>
  <c r="I69" i="5"/>
  <c r="K69" i="5" s="1"/>
  <c r="R69" i="5" s="1"/>
  <c r="Q68" i="5"/>
  <c r="N68" i="5"/>
  <c r="I68" i="5"/>
  <c r="K68" i="5" s="1"/>
  <c r="R68" i="5" s="1"/>
  <c r="Q67" i="5"/>
  <c r="N67" i="5"/>
  <c r="I67" i="5"/>
  <c r="K67" i="5" s="1"/>
  <c r="Q66" i="5"/>
  <c r="N66" i="5"/>
  <c r="I66" i="5"/>
  <c r="K66" i="5" s="1"/>
  <c r="Q65" i="5"/>
  <c r="N65" i="5"/>
  <c r="I65" i="5"/>
  <c r="K65" i="5" s="1"/>
  <c r="R65" i="5" s="1"/>
  <c r="Q64" i="5"/>
  <c r="N64" i="5"/>
  <c r="I64" i="5"/>
  <c r="K64" i="5" s="1"/>
  <c r="R64" i="5" s="1"/>
  <c r="Q63" i="5"/>
  <c r="N63" i="5"/>
  <c r="I63" i="5"/>
  <c r="K63" i="5" s="1"/>
  <c r="Q62" i="5"/>
  <c r="N62" i="5"/>
  <c r="I62" i="5"/>
  <c r="K62" i="5" s="1"/>
  <c r="Q61" i="5"/>
  <c r="N61" i="5"/>
  <c r="I61" i="5"/>
  <c r="K61" i="5" s="1"/>
  <c r="R61" i="5" s="1"/>
  <c r="Q60" i="5"/>
  <c r="N60" i="5"/>
  <c r="I60" i="5"/>
  <c r="K60" i="5" s="1"/>
  <c r="Q59" i="5"/>
  <c r="N59" i="5"/>
  <c r="I59" i="5"/>
  <c r="K59" i="5" s="1"/>
  <c r="R59" i="5" s="1"/>
  <c r="Q58" i="5"/>
  <c r="N58" i="5"/>
  <c r="I58" i="5"/>
  <c r="K58" i="5" s="1"/>
  <c r="Q57" i="5"/>
  <c r="N57" i="5"/>
  <c r="I57" i="5"/>
  <c r="K57" i="5" s="1"/>
  <c r="Q56" i="5"/>
  <c r="N56" i="5"/>
  <c r="I56" i="5"/>
  <c r="K56" i="5" s="1"/>
  <c r="R56" i="5" s="1"/>
  <c r="Q55" i="5"/>
  <c r="N55" i="5"/>
  <c r="I55" i="5"/>
  <c r="K55" i="5" s="1"/>
  <c r="R55" i="5" s="1"/>
  <c r="Q54" i="5"/>
  <c r="N54" i="5"/>
  <c r="I54" i="5"/>
  <c r="K54" i="5" s="1"/>
  <c r="Q53" i="5"/>
  <c r="N53" i="5"/>
  <c r="I53" i="5"/>
  <c r="K53" i="5" s="1"/>
  <c r="R53" i="5" s="1"/>
  <c r="Q52" i="5"/>
  <c r="N52" i="5"/>
  <c r="I52" i="5"/>
  <c r="K52" i="5" s="1"/>
  <c r="Q51" i="5"/>
  <c r="N51" i="5"/>
  <c r="I51" i="5"/>
  <c r="K51" i="5" s="1"/>
  <c r="R51" i="5" s="1"/>
  <c r="Q50" i="5"/>
  <c r="N50" i="5"/>
  <c r="I50" i="5"/>
  <c r="K50" i="5" s="1"/>
  <c r="Q49" i="5"/>
  <c r="N49" i="5"/>
  <c r="I49" i="5"/>
  <c r="K49" i="5" s="1"/>
  <c r="R49" i="5" s="1"/>
  <c r="Q48" i="5"/>
  <c r="N48" i="5"/>
  <c r="I48" i="5"/>
  <c r="K48" i="5" s="1"/>
  <c r="R48" i="5" s="1"/>
  <c r="Q47" i="5"/>
  <c r="N47" i="5"/>
  <c r="I47" i="5"/>
  <c r="K47" i="5" s="1"/>
  <c r="R47" i="5" s="1"/>
  <c r="Q46" i="5"/>
  <c r="N46" i="5"/>
  <c r="I46" i="5"/>
  <c r="K46" i="5" s="1"/>
  <c r="Q45" i="5"/>
  <c r="N45" i="5"/>
  <c r="I45" i="5"/>
  <c r="K45" i="5" s="1"/>
  <c r="Q44" i="5"/>
  <c r="N44" i="5"/>
  <c r="I44" i="5"/>
  <c r="K44" i="5" s="1"/>
  <c r="R44" i="5" s="1"/>
  <c r="Q43" i="5"/>
  <c r="N43" i="5"/>
  <c r="I43" i="5"/>
  <c r="K43" i="5" s="1"/>
  <c r="R43" i="5" s="1"/>
  <c r="Q42" i="5"/>
  <c r="N42" i="5"/>
  <c r="I42" i="5"/>
  <c r="K42" i="5" s="1"/>
  <c r="Q41" i="5"/>
  <c r="N41" i="5"/>
  <c r="I41" i="5"/>
  <c r="K41" i="5" s="1"/>
  <c r="Q40" i="5"/>
  <c r="N40" i="5"/>
  <c r="I40" i="5"/>
  <c r="K40" i="5" s="1"/>
  <c r="Q39" i="5"/>
  <c r="N39" i="5"/>
  <c r="I39" i="5"/>
  <c r="K39" i="5" s="1"/>
  <c r="Q38" i="5"/>
  <c r="N38" i="5"/>
  <c r="I38" i="5"/>
  <c r="K38" i="5" s="1"/>
  <c r="Q37" i="5"/>
  <c r="N37" i="5"/>
  <c r="I37" i="5"/>
  <c r="K37" i="5" s="1"/>
  <c r="R37" i="5" s="1"/>
  <c r="Q36" i="5"/>
  <c r="N36" i="5"/>
  <c r="I36" i="5"/>
  <c r="K36" i="5" s="1"/>
  <c r="Q35" i="5"/>
  <c r="N35" i="5"/>
  <c r="I35" i="5"/>
  <c r="K35" i="5" s="1"/>
  <c r="R35" i="5" s="1"/>
  <c r="Q34" i="5"/>
  <c r="N34" i="5"/>
  <c r="I34" i="5"/>
  <c r="K34" i="5" s="1"/>
  <c r="Q33" i="5"/>
  <c r="N33" i="5"/>
  <c r="I33" i="5"/>
  <c r="K33" i="5" s="1"/>
  <c r="Q32" i="5"/>
  <c r="N32" i="5"/>
  <c r="I32" i="5"/>
  <c r="K32" i="5" s="1"/>
  <c r="R32" i="5" s="1"/>
  <c r="Q31" i="5"/>
  <c r="N31" i="5"/>
  <c r="I31" i="5"/>
  <c r="K31" i="5" s="1"/>
  <c r="R31" i="5" s="1"/>
  <c r="Q30" i="5"/>
  <c r="N30" i="5"/>
  <c r="I30" i="5"/>
  <c r="K30" i="5" s="1"/>
  <c r="Q29" i="5"/>
  <c r="N29" i="5"/>
  <c r="I29" i="5"/>
  <c r="K29" i="5" s="1"/>
  <c r="R29" i="5" s="1"/>
  <c r="Q28" i="5"/>
  <c r="N28" i="5"/>
  <c r="I28" i="5"/>
  <c r="K28" i="5" s="1"/>
  <c r="Q27" i="5"/>
  <c r="N27" i="5"/>
  <c r="I27" i="5"/>
  <c r="K27" i="5" s="1"/>
  <c r="R27" i="5" s="1"/>
  <c r="Q26" i="5"/>
  <c r="N26" i="5"/>
  <c r="I26" i="5"/>
  <c r="K26" i="5" s="1"/>
  <c r="Q25" i="5"/>
  <c r="N25" i="5"/>
  <c r="I25" i="5"/>
  <c r="K25" i="5" s="1"/>
  <c r="R25" i="5" s="1"/>
  <c r="Q24" i="5"/>
  <c r="N24" i="5"/>
  <c r="I24" i="5"/>
  <c r="K24" i="5" s="1"/>
  <c r="R24" i="5" s="1"/>
  <c r="Q23" i="5"/>
  <c r="N23" i="5"/>
  <c r="I23" i="5"/>
  <c r="K23" i="5" s="1"/>
  <c r="Q22" i="5"/>
  <c r="N22" i="5"/>
  <c r="I22" i="5"/>
  <c r="K22" i="5" s="1"/>
  <c r="Q21" i="5"/>
  <c r="N21" i="5"/>
  <c r="I21" i="5"/>
  <c r="K21" i="5" s="1"/>
  <c r="R21" i="5" s="1"/>
  <c r="Q20" i="5"/>
  <c r="N20" i="5"/>
  <c r="I20" i="5"/>
  <c r="K20" i="5" s="1"/>
  <c r="R20" i="5" s="1"/>
  <c r="Q19" i="5"/>
  <c r="N19" i="5"/>
  <c r="I19" i="5"/>
  <c r="K19" i="5" s="1"/>
  <c r="Q18" i="5"/>
  <c r="N18" i="5"/>
  <c r="I18" i="5"/>
  <c r="K18" i="5" s="1"/>
  <c r="Q17" i="5"/>
  <c r="N17" i="5"/>
  <c r="I17" i="5"/>
  <c r="K17" i="5" s="1"/>
  <c r="R17" i="5" s="1"/>
  <c r="Q16" i="5"/>
  <c r="N16" i="5"/>
  <c r="I16" i="5"/>
  <c r="K16" i="5" s="1"/>
  <c r="Q15" i="5"/>
  <c r="N15" i="5"/>
  <c r="I15" i="5"/>
  <c r="K15" i="5" s="1"/>
  <c r="R15" i="5" s="1"/>
  <c r="Q14" i="5"/>
  <c r="N14" i="5"/>
  <c r="I14" i="5"/>
  <c r="K14" i="5" s="1"/>
  <c r="Q13" i="5"/>
  <c r="N13" i="5"/>
  <c r="I13" i="5"/>
  <c r="K13" i="5" s="1"/>
  <c r="R13" i="5" s="1"/>
  <c r="Q12" i="5"/>
  <c r="N12" i="5"/>
  <c r="I12" i="5"/>
  <c r="K12" i="5" s="1"/>
  <c r="Q11" i="5"/>
  <c r="N11" i="5"/>
  <c r="I11" i="5"/>
  <c r="K11" i="5" s="1"/>
  <c r="R11" i="5" s="1"/>
  <c r="Q10" i="5"/>
  <c r="N10" i="5"/>
  <c r="I10" i="5"/>
  <c r="K10" i="5" s="1"/>
  <c r="Q9" i="5"/>
  <c r="N9" i="5"/>
  <c r="I9" i="5"/>
  <c r="K9" i="5" s="1"/>
  <c r="R9" i="5" s="1"/>
  <c r="Q8" i="5"/>
  <c r="N8" i="5"/>
  <c r="I8" i="5"/>
  <c r="K8" i="5" s="1"/>
  <c r="Q7" i="5"/>
  <c r="N7" i="5"/>
  <c r="I7" i="5"/>
  <c r="K7" i="5" s="1"/>
  <c r="Q6" i="5"/>
  <c r="N6" i="5"/>
  <c r="I6" i="5"/>
  <c r="K6" i="5" s="1"/>
  <c r="Q15" i="8"/>
  <c r="L15" i="8"/>
  <c r="I15" i="8"/>
  <c r="L14" i="8"/>
  <c r="I14" i="8"/>
  <c r="L13" i="8"/>
  <c r="I13" i="8"/>
  <c r="Q12" i="8"/>
  <c r="L12" i="8"/>
  <c r="I12" i="8"/>
  <c r="Q11" i="8"/>
  <c r="L11" i="8"/>
  <c r="I11" i="8"/>
  <c r="Q10" i="8"/>
  <c r="I10" i="8"/>
  <c r="E10" i="8"/>
  <c r="Q9" i="8"/>
  <c r="I9" i="8"/>
  <c r="R9" i="8" s="1"/>
  <c r="Q8" i="8"/>
  <c r="I8" i="8"/>
  <c r="Q7" i="8"/>
  <c r="I7" i="8"/>
  <c r="E7" i="8"/>
  <c r="Q6" i="8"/>
  <c r="I6" i="8"/>
  <c r="O17" i="9"/>
  <c r="Q17" i="9" s="1"/>
  <c r="I17" i="9"/>
  <c r="Q16" i="9"/>
  <c r="L16" i="9"/>
  <c r="I16" i="9"/>
  <c r="R16" i="9" s="1"/>
  <c r="L15" i="9"/>
  <c r="I15" i="9"/>
  <c r="E15" i="9"/>
  <c r="O15" i="9" s="1"/>
  <c r="Q15" i="9" s="1"/>
  <c r="Q14" i="9"/>
  <c r="R14" i="9" s="1"/>
  <c r="O14" i="9"/>
  <c r="O13" i="9"/>
  <c r="Q13" i="9" s="1"/>
  <c r="L13" i="9"/>
  <c r="I13" i="9"/>
  <c r="R13" i="9" s="1"/>
  <c r="O12" i="9"/>
  <c r="Q12" i="9" s="1"/>
  <c r="L12" i="9"/>
  <c r="I12" i="9"/>
  <c r="O11" i="9"/>
  <c r="Q11" i="9" s="1"/>
  <c r="O10" i="9"/>
  <c r="Q10" i="9" s="1"/>
  <c r="I10" i="9"/>
  <c r="R10" i="9" s="1"/>
  <c r="O9" i="9"/>
  <c r="Q9" i="9" s="1"/>
  <c r="I9" i="9"/>
  <c r="O8" i="9"/>
  <c r="Q8" i="9" s="1"/>
  <c r="R8" i="9" s="1"/>
  <c r="I7" i="9"/>
  <c r="E7" i="9"/>
  <c r="O7" i="9" s="1"/>
  <c r="Q7" i="9" s="1"/>
  <c r="I6" i="9"/>
  <c r="E6" i="9"/>
  <c r="O6" i="9" s="1"/>
  <c r="Q6" i="9" s="1"/>
  <c r="L125" i="6"/>
  <c r="G125" i="14" s="1"/>
  <c r="L149" i="6"/>
  <c r="G149" i="14" s="1"/>
  <c r="L131" i="6"/>
  <c r="L115" i="6"/>
  <c r="K116" i="6"/>
  <c r="K117" i="6"/>
  <c r="L94" i="6"/>
  <c r="N86" i="6"/>
  <c r="K62" i="6"/>
  <c r="K61" i="6"/>
  <c r="K60" i="6"/>
  <c r="K58" i="6"/>
  <c r="F58" i="14" s="1"/>
  <c r="K56" i="6"/>
  <c r="F56" i="14" s="1"/>
  <c r="K54" i="6"/>
  <c r="F54" i="14" s="1"/>
  <c r="L50" i="6"/>
  <c r="G52" i="14" s="1"/>
  <c r="L42" i="6"/>
  <c r="G44" i="14" s="1"/>
  <c r="L41" i="6"/>
  <c r="G43" i="14" s="1"/>
  <c r="L40" i="6"/>
  <c r="K38" i="6"/>
  <c r="F40" i="14" s="1"/>
  <c r="L34" i="6"/>
  <c r="G36" i="14" s="1"/>
  <c r="K77" i="6"/>
  <c r="L72" i="6"/>
  <c r="G72" i="14" s="1"/>
  <c r="K71" i="6"/>
  <c r="K31" i="6"/>
  <c r="K30" i="6"/>
  <c r="K28" i="6"/>
  <c r="K27" i="6"/>
  <c r="L19" i="6"/>
  <c r="L16" i="6"/>
  <c r="L13" i="6"/>
  <c r="L10" i="6"/>
  <c r="Y10" i="6" s="1"/>
  <c r="L9" i="6"/>
  <c r="Y9" i="6" s="1"/>
  <c r="N8" i="6"/>
  <c r="L5" i="6"/>
  <c r="N3" i="6" s="1"/>
  <c r="F71" i="14" l="1"/>
  <c r="I71" i="14" s="1"/>
  <c r="X71" i="6"/>
  <c r="AA71" i="6" s="1"/>
  <c r="R14" i="8"/>
  <c r="R19" i="5"/>
  <c r="R63" i="5"/>
  <c r="R85" i="5"/>
  <c r="R89" i="5"/>
  <c r="R10" i="5"/>
  <c r="R14" i="5"/>
  <c r="R22" i="5"/>
  <c r="R26" i="5"/>
  <c r="R30" i="5"/>
  <c r="R34" i="5"/>
  <c r="R42" i="5"/>
  <c r="R54" i="5"/>
  <c r="R66" i="5"/>
  <c r="R79" i="5"/>
  <c r="R88" i="5"/>
  <c r="R92" i="5"/>
  <c r="G16" i="14"/>
  <c r="Y13" i="6"/>
  <c r="AA13" i="6" s="1"/>
  <c r="R12" i="8"/>
  <c r="G19" i="14"/>
  <c r="I19" i="14" s="1"/>
  <c r="Y16" i="6"/>
  <c r="AA16" i="6" s="1"/>
  <c r="R7" i="9"/>
  <c r="R8" i="5"/>
  <c r="R39" i="5"/>
  <c r="G22" i="14"/>
  <c r="Z22" i="14" s="1"/>
  <c r="Y19" i="6"/>
  <c r="AA19" i="6" s="1"/>
  <c r="Q70" i="5"/>
  <c r="R52" i="5"/>
  <c r="R60" i="5"/>
  <c r="Z43" i="14"/>
  <c r="AN60" i="6" s="1"/>
  <c r="I43" i="14"/>
  <c r="O43" i="14"/>
  <c r="F116" i="14"/>
  <c r="G131" i="14"/>
  <c r="G191" i="14" s="1"/>
  <c r="F33" i="14"/>
  <c r="F31" i="14"/>
  <c r="O36" i="14"/>
  <c r="Z36" i="14"/>
  <c r="I36" i="14"/>
  <c r="O44" i="14"/>
  <c r="I44" i="14"/>
  <c r="Z44" i="14"/>
  <c r="AN59" i="6" s="1"/>
  <c r="W58" i="14"/>
  <c r="M58" i="14"/>
  <c r="I58" i="14"/>
  <c r="G115" i="14"/>
  <c r="Z149" i="14"/>
  <c r="AN149" i="6" s="1"/>
  <c r="O149" i="14"/>
  <c r="I149" i="14"/>
  <c r="G13" i="14"/>
  <c r="W56" i="14"/>
  <c r="AL56" i="6" s="1"/>
  <c r="M56" i="14"/>
  <c r="I56" i="14"/>
  <c r="W71" i="14"/>
  <c r="F60" i="14"/>
  <c r="I125" i="14"/>
  <c r="Z125" i="14"/>
  <c r="O125" i="14"/>
  <c r="F30" i="14"/>
  <c r="F77" i="14"/>
  <c r="F62" i="14"/>
  <c r="W40" i="14"/>
  <c r="M40" i="14"/>
  <c r="I40" i="14"/>
  <c r="O52" i="14"/>
  <c r="I52" i="14"/>
  <c r="Z52" i="14"/>
  <c r="AN67" i="6" s="1"/>
  <c r="G94" i="14"/>
  <c r="G12" i="14"/>
  <c r="F32" i="14"/>
  <c r="Z72" i="14"/>
  <c r="I72" i="14"/>
  <c r="O72" i="14"/>
  <c r="Y40" i="6"/>
  <c r="AA40" i="6" s="1"/>
  <c r="G42" i="14"/>
  <c r="W54" i="14"/>
  <c r="I54" i="14"/>
  <c r="M54" i="14"/>
  <c r="F61" i="14"/>
  <c r="F117" i="14"/>
  <c r="Y42" i="6"/>
  <c r="AA42" i="6" s="1"/>
  <c r="Y50" i="6"/>
  <c r="AA50" i="6" s="1"/>
  <c r="Y72" i="6"/>
  <c r="AA72" i="6" s="1"/>
  <c r="Y34" i="6"/>
  <c r="X58" i="6"/>
  <c r="AA58" i="6" s="1"/>
  <c r="Y41" i="6"/>
  <c r="AA41" i="6" s="1"/>
  <c r="Y149" i="6"/>
  <c r="AA149" i="6" s="1"/>
  <c r="Y125" i="6"/>
  <c r="AA125" i="6" s="1"/>
  <c r="X38" i="6"/>
  <c r="X56" i="6"/>
  <c r="AA56" i="6" s="1"/>
  <c r="K70" i="5"/>
  <c r="K99" i="5" s="1"/>
  <c r="R12" i="9"/>
  <c r="R17" i="9"/>
  <c r="R7" i="5"/>
  <c r="R16" i="5"/>
  <c r="R23" i="5"/>
  <c r="R28" i="5"/>
  <c r="R33" i="5"/>
  <c r="R38" i="5"/>
  <c r="R67" i="5"/>
  <c r="R80" i="5"/>
  <c r="R86" i="5"/>
  <c r="R91" i="5"/>
  <c r="R93" i="5"/>
  <c r="X54" i="6"/>
  <c r="AA54" i="6" s="1"/>
  <c r="R12" i="5"/>
  <c r="R36" i="5"/>
  <c r="R41" i="5"/>
  <c r="R46" i="5"/>
  <c r="R58" i="5"/>
  <c r="N97" i="5"/>
  <c r="N83" i="5"/>
  <c r="Q97" i="5"/>
  <c r="R87" i="5"/>
  <c r="R94" i="5"/>
  <c r="N106" i="5"/>
  <c r="Q106" i="5"/>
  <c r="R6" i="9"/>
  <c r="N70" i="5"/>
  <c r="Q83" i="5"/>
  <c r="Q99" i="5" s="1"/>
  <c r="R8" i="8"/>
  <c r="R18" i="5"/>
  <c r="R40" i="5"/>
  <c r="R45" i="5"/>
  <c r="R50" i="5"/>
  <c r="R57" i="5"/>
  <c r="R62" i="5"/>
  <c r="R75" i="5"/>
  <c r="K97" i="5"/>
  <c r="R84" i="5"/>
  <c r="Q18" i="9"/>
  <c r="R9" i="9"/>
  <c r="R15" i="9"/>
  <c r="K83" i="5"/>
  <c r="R96" i="5"/>
  <c r="K106" i="5"/>
  <c r="I16" i="8"/>
  <c r="R7" i="8"/>
  <c r="R11" i="8"/>
  <c r="L16" i="8"/>
  <c r="R6" i="5"/>
  <c r="R71" i="5"/>
  <c r="R83" i="5" s="1"/>
  <c r="R10" i="8"/>
  <c r="R13" i="8"/>
  <c r="R15" i="8"/>
  <c r="AA10" i="6"/>
  <c r="R6" i="8"/>
  <c r="Q16" i="8"/>
  <c r="K6" i="6"/>
  <c r="N71" i="6"/>
  <c r="N38" i="6"/>
  <c r="N13" i="6"/>
  <c r="N50" i="6"/>
  <c r="N56" i="6"/>
  <c r="N125" i="6"/>
  <c r="N58" i="6"/>
  <c r="N16" i="6"/>
  <c r="N72" i="6"/>
  <c r="N54" i="6"/>
  <c r="N62" i="6"/>
  <c r="N31" i="6"/>
  <c r="N70" i="6"/>
  <c r="N19" i="6"/>
  <c r="N149" i="6"/>
  <c r="N60" i="6"/>
  <c r="N94" i="6"/>
  <c r="N131" i="6"/>
  <c r="N69" i="6"/>
  <c r="X69" i="6" s="1"/>
  <c r="AA69" i="6" s="1"/>
  <c r="N42" i="6"/>
  <c r="N30" i="6"/>
  <c r="L6" i="6"/>
  <c r="N9" i="6"/>
  <c r="N27" i="6"/>
  <c r="N77" i="6"/>
  <c r="X77" i="6" s="1"/>
  <c r="AA77" i="6" s="1"/>
  <c r="N40" i="6"/>
  <c r="N117" i="6"/>
  <c r="N115" i="6"/>
  <c r="N34" i="6"/>
  <c r="N28" i="6"/>
  <c r="N41" i="6"/>
  <c r="N61" i="6"/>
  <c r="N116" i="6"/>
  <c r="X116" i="6" s="1"/>
  <c r="AA116" i="6" s="1"/>
  <c r="N10" i="6"/>
  <c r="N120" i="6"/>
  <c r="Y120" i="6" s="1"/>
  <c r="AA120" i="6" s="1"/>
  <c r="M71" i="14" l="1"/>
  <c r="I16" i="14"/>
  <c r="Z16" i="14"/>
  <c r="AN16" i="6" s="1"/>
  <c r="I22" i="14"/>
  <c r="O22" i="14"/>
  <c r="O16" i="14"/>
  <c r="O19" i="14"/>
  <c r="Z19" i="14"/>
  <c r="AN57" i="6"/>
  <c r="AL64" i="6"/>
  <c r="AL71" i="6"/>
  <c r="AL54" i="6"/>
  <c r="AL69" i="6"/>
  <c r="AL58" i="6"/>
  <c r="AL73" i="6"/>
  <c r="AN72" i="6"/>
  <c r="AN77" i="6"/>
  <c r="AN125" i="6"/>
  <c r="N6" i="6"/>
  <c r="AA34" i="6"/>
  <c r="Y6" i="6"/>
  <c r="AA38" i="6"/>
  <c r="AN50" i="6"/>
  <c r="AN52" i="6"/>
  <c r="AN22" i="6"/>
  <c r="AL38" i="6"/>
  <c r="AL40" i="6"/>
  <c r="AN44" i="6"/>
  <c r="AN34" i="6"/>
  <c r="AN36" i="6"/>
  <c r="AN41" i="6"/>
  <c r="AN43" i="6"/>
  <c r="I12" i="14"/>
  <c r="Z12" i="14"/>
  <c r="G6" i="14"/>
  <c r="O12" i="14"/>
  <c r="W77" i="14"/>
  <c r="I77" i="14"/>
  <c r="M77" i="14"/>
  <c r="M61" i="14"/>
  <c r="W61" i="14"/>
  <c r="I61" i="14"/>
  <c r="Z13" i="14"/>
  <c r="AN10" i="6" s="1"/>
  <c r="I13" i="14"/>
  <c r="O13" i="14"/>
  <c r="W31" i="14"/>
  <c r="AL28" i="6" s="1"/>
  <c r="M31" i="14"/>
  <c r="I31" i="14"/>
  <c r="Z131" i="14"/>
  <c r="O131" i="14"/>
  <c r="I131" i="14"/>
  <c r="I191" i="14" s="1"/>
  <c r="I42" i="14"/>
  <c r="O42" i="14"/>
  <c r="Z42" i="14"/>
  <c r="I94" i="14"/>
  <c r="O94" i="14"/>
  <c r="Z94" i="14"/>
  <c r="W62" i="14"/>
  <c r="M62" i="14"/>
  <c r="I62" i="14"/>
  <c r="W30" i="14"/>
  <c r="M30" i="14"/>
  <c r="I30" i="14"/>
  <c r="F6" i="14"/>
  <c r="O115" i="14"/>
  <c r="I115" i="14"/>
  <c r="Z115" i="14"/>
  <c r="AN115" i="6" s="1"/>
  <c r="W117" i="14"/>
  <c r="M117" i="14"/>
  <c r="I117" i="14"/>
  <c r="W32" i="14"/>
  <c r="M32" i="14"/>
  <c r="I32" i="14"/>
  <c r="W60" i="14"/>
  <c r="M60" i="14"/>
  <c r="I60" i="14"/>
  <c r="W33" i="14"/>
  <c r="I33" i="14"/>
  <c r="M33" i="14"/>
  <c r="W116" i="14"/>
  <c r="AL116" i="6" s="1"/>
  <c r="I116" i="14"/>
  <c r="M116" i="14"/>
  <c r="X70" i="6"/>
  <c r="AA70" i="6" s="1"/>
  <c r="N99" i="5"/>
  <c r="R70" i="5"/>
  <c r="R99" i="5" s="1"/>
  <c r="AA9" i="6"/>
  <c r="R16" i="8"/>
  <c r="R97" i="5"/>
  <c r="AL117" i="6" l="1"/>
  <c r="AN19" i="6"/>
  <c r="O187" i="14"/>
  <c r="AN131" i="6"/>
  <c r="AN94" i="6"/>
  <c r="AL60" i="6"/>
  <c r="AL10" i="6"/>
  <c r="AL62" i="6"/>
  <c r="AL34" i="6"/>
  <c r="AN40" i="6"/>
  <c r="AN58" i="6"/>
  <c r="AL61" i="6"/>
  <c r="AL35" i="6"/>
  <c r="AL77" i="6"/>
  <c r="AL9" i="6"/>
  <c r="AL27" i="6"/>
  <c r="AA6" i="6"/>
  <c r="X6" i="6"/>
  <c r="AN42" i="6"/>
  <c r="AL30" i="6"/>
  <c r="AL32" i="6"/>
  <c r="AN13" i="6"/>
  <c r="AN9" i="6"/>
  <c r="AN12" i="6"/>
  <c r="AL31" i="6"/>
  <c r="AL33" i="6"/>
  <c r="Z186" i="14"/>
  <c r="O185" i="14"/>
  <c r="O6" i="14"/>
  <c r="W6" i="14"/>
  <c r="I6" i="14"/>
  <c r="AM123" i="6"/>
  <c r="Y6" i="14"/>
  <c r="Z123" i="14"/>
  <c r="AN123" i="6" s="1"/>
  <c r="Z6" i="14" l="1"/>
  <c r="L185" i="14"/>
  <c r="M57" i="14"/>
  <c r="L6" i="14"/>
  <c r="M185" i="14" l="1"/>
  <c r="M6" i="14"/>
  <c r="L11" i="9" l="1"/>
  <c r="I11" i="9"/>
  <c r="R11" i="9"/>
  <c r="R18" i="9"/>
</calcChain>
</file>

<file path=xl/comments1.xml><?xml version="1.0" encoding="utf-8"?>
<comments xmlns="http://schemas.openxmlformats.org/spreadsheetml/2006/main">
  <authors>
    <author>presupuesto</author>
  </authors>
  <commentList>
    <comment ref="Z15" authorId="0" shapeId="0">
      <text>
        <r>
          <rPr>
            <b/>
            <sz val="14"/>
            <color indexed="81"/>
            <rFont val="Tahoma"/>
            <family val="2"/>
          </rPr>
          <t>presupuesto:</t>
        </r>
        <r>
          <rPr>
            <sz val="14"/>
            <color indexed="81"/>
            <rFont val="Tahoma"/>
            <family val="2"/>
          </rPr>
          <t xml:space="preserve">
queda pendiente una transporte por 30.000</t>
        </r>
      </text>
    </comment>
    <comment ref="Z38" authorId="0" shapeId="0">
      <text>
        <r>
          <rPr>
            <b/>
            <sz val="14"/>
            <color indexed="81"/>
            <rFont val="Tahoma"/>
            <family val="2"/>
          </rPr>
          <t>presupuesto:pendientes 2 comisiones transorte cada una 12.000</t>
        </r>
        <r>
          <rPr>
            <sz val="9"/>
            <color indexed="81"/>
            <rFont val="Tahoma"/>
            <family val="2"/>
          </rPr>
          <t xml:space="preserve">
</t>
        </r>
      </text>
    </comment>
    <comment ref="Z39" authorId="0" shapeId="0">
      <text>
        <r>
          <rPr>
            <b/>
            <sz val="12"/>
            <color indexed="81"/>
            <rFont val="Tahoma"/>
            <family val="2"/>
          </rPr>
          <t>presupuesto:pendientes 2 comisones por valor de 85642 y 70583</t>
        </r>
        <r>
          <rPr>
            <sz val="9"/>
            <color indexed="81"/>
            <rFont val="Tahoma"/>
            <family val="2"/>
          </rPr>
          <t xml:space="preserve">
</t>
        </r>
      </text>
    </comment>
    <comment ref="W65" authorId="0" shapeId="0">
      <text>
        <r>
          <rPr>
            <b/>
            <sz val="9"/>
            <color indexed="81"/>
            <rFont val="Tahoma"/>
            <family val="2"/>
          </rPr>
          <t>pendiente que salga contrato</t>
        </r>
        <r>
          <rPr>
            <sz val="9"/>
            <color indexed="81"/>
            <rFont val="Tahoma"/>
            <family val="2"/>
          </rPr>
          <t xml:space="preserve">
</t>
        </r>
      </text>
    </comment>
  </commentList>
</comments>
</file>

<file path=xl/comments2.xml><?xml version="1.0" encoding="utf-8"?>
<comments xmlns="http://schemas.openxmlformats.org/spreadsheetml/2006/main">
  <authors>
    <author>Sara Paola Rivera Moreno</author>
  </authors>
  <commentList>
    <comment ref="L13" authorId="0" shapeId="0">
      <text>
        <r>
          <rPr>
            <b/>
            <sz val="9"/>
            <color indexed="81"/>
            <rFont val="Tahoma"/>
            <family val="2"/>
          </rPr>
          <t>Sara Paola Rivera Moreno:</t>
        </r>
        <r>
          <rPr>
            <sz val="9"/>
            <color indexed="81"/>
            <rFont val="Tahoma"/>
            <family val="2"/>
          </rPr>
          <t xml:space="preserve">
Sobraron 30° del 2018</t>
        </r>
      </text>
    </comment>
  </commentList>
</comments>
</file>

<file path=xl/comments3.xml><?xml version="1.0" encoding="utf-8"?>
<comments xmlns="http://schemas.openxmlformats.org/spreadsheetml/2006/main">
  <authors>
    <author>Martha del Pilar Gomez</author>
  </authors>
  <commentList>
    <comment ref="H5" authorId="0" shapeId="0">
      <text>
        <r>
          <rPr>
            <b/>
            <sz val="9"/>
            <color indexed="81"/>
            <rFont val="Tahoma"/>
            <family val="2"/>
          </rPr>
          <t>Martha del Pilar Gomez:</t>
        </r>
        <r>
          <rPr>
            <sz val="9"/>
            <color indexed="81"/>
            <rFont val="Tahoma"/>
            <family val="2"/>
          </rPr>
          <t xml:space="preserve">
Colocar un costo estimado de $800.000</t>
        </r>
      </text>
    </comment>
    <comment ref="P5" authorId="0" shapeId="0">
      <text>
        <r>
          <rPr>
            <b/>
            <sz val="9"/>
            <color indexed="81"/>
            <rFont val="Tahoma"/>
            <family val="2"/>
          </rPr>
          <t>Martha del Pilar Gomez:</t>
        </r>
        <r>
          <rPr>
            <sz val="9"/>
            <color indexed="81"/>
            <rFont val="Tahoma"/>
            <family val="2"/>
          </rPr>
          <t xml:space="preserve">
El costo de los refrigerios de los eventos que se realizan en el Hotel Tequendama no se reflejan en este cronograma dado que están pagos por otro contrato</t>
        </r>
      </text>
    </comment>
  </commentList>
</comments>
</file>

<file path=xl/comments4.xml><?xml version="1.0" encoding="utf-8"?>
<comments xmlns="http://schemas.openxmlformats.org/spreadsheetml/2006/main">
  <authors>
    <author>Martha del Pilar Gomez</author>
  </authors>
  <commentList>
    <comment ref="H5" authorId="0" shapeId="0">
      <text>
        <r>
          <rPr>
            <b/>
            <sz val="9"/>
            <color indexed="81"/>
            <rFont val="Tahoma"/>
            <family val="2"/>
          </rPr>
          <t>Martha del Pilar Gomez:</t>
        </r>
        <r>
          <rPr>
            <sz val="9"/>
            <color indexed="81"/>
            <rFont val="Tahoma"/>
            <family val="2"/>
          </rPr>
          <t xml:space="preserve">
Colocar un costo estimado de $800.000</t>
        </r>
      </text>
    </comment>
    <comment ref="P5" authorId="0" shapeId="0">
      <text>
        <r>
          <rPr>
            <b/>
            <sz val="9"/>
            <color indexed="81"/>
            <rFont val="Tahoma"/>
            <family val="2"/>
          </rPr>
          <t>Martha del Pilar Gomez:</t>
        </r>
        <r>
          <rPr>
            <sz val="9"/>
            <color indexed="81"/>
            <rFont val="Tahoma"/>
            <family val="2"/>
          </rPr>
          <t xml:space="preserve">
El costo de los refrigerios de los eventos que se realizan en el Hotel Tequendama no se reflejan en este cronograma dado que están pagos por otro contrato</t>
        </r>
      </text>
    </comment>
  </commentList>
</comments>
</file>

<file path=xl/sharedStrings.xml><?xml version="1.0" encoding="utf-8"?>
<sst xmlns="http://schemas.openxmlformats.org/spreadsheetml/2006/main" count="5305" uniqueCount="1214">
  <si>
    <t>Descripción del contrato</t>
  </si>
  <si>
    <t>Nombre proyecto</t>
  </si>
  <si>
    <t>Tipo de objeto de Gasto</t>
  </si>
  <si>
    <t>Tipo de rubro de Gasto</t>
  </si>
  <si>
    <t>Supervisor</t>
  </si>
  <si>
    <t>Códigos UNSPSC</t>
  </si>
  <si>
    <t>Duración estimada del contrato en Meses</t>
  </si>
  <si>
    <t xml:space="preserve">Modalidad de selección </t>
  </si>
  <si>
    <t># CDP</t>
  </si>
  <si>
    <t># RP</t>
  </si>
  <si>
    <t xml:space="preserve">Fecha del RP </t>
  </si>
  <si>
    <t>Contratos asociados</t>
  </si>
  <si>
    <t xml:space="preserve">Nombre Tercero </t>
  </si>
  <si>
    <t xml:space="preserve">Fecha y resumen Circular </t>
  </si>
  <si>
    <t xml:space="preserve">SERVICIO </t>
  </si>
  <si>
    <t>Asistencia Técnica</t>
  </si>
  <si>
    <t>Contratación directa</t>
  </si>
  <si>
    <t>Informática y Tecnología</t>
  </si>
  <si>
    <t>CARDOZO MUÑOZ SONIA YANETH</t>
  </si>
  <si>
    <t>FANDIÑO HERRAN CRISTIAN LAREL</t>
  </si>
  <si>
    <t>Mínima cuantía</t>
  </si>
  <si>
    <t xml:space="preserve">EQUIPOS </t>
  </si>
  <si>
    <t>Selección abreviada menor cuantía</t>
  </si>
  <si>
    <t>HORMAZA ANA PATRICIA</t>
  </si>
  <si>
    <t>MATERIALES Y SUMINISTROS</t>
  </si>
  <si>
    <t>No es Contrato</t>
  </si>
  <si>
    <t>Administrativo</t>
  </si>
  <si>
    <t>PARDO MORALES GLADYS MIREYA</t>
  </si>
  <si>
    <t>Comunicaciones</t>
  </si>
  <si>
    <t>YEPES CAMACHO MARIA DEL ROSARIO</t>
  </si>
  <si>
    <t xml:space="preserve">EVENTOS </t>
  </si>
  <si>
    <t>MONTAÑEZ VARGAS DARIO JAVIER</t>
  </si>
  <si>
    <t>KING GARCES ENRIQUE EFRAIN</t>
  </si>
  <si>
    <t>Gestión Humana</t>
  </si>
  <si>
    <t xml:space="preserve">OBRA </t>
  </si>
  <si>
    <t>CASTILLO MARTIN HELBERT</t>
  </si>
  <si>
    <t xml:space="preserve">Administración Documental </t>
  </si>
  <si>
    <t>ORTIZ TORRES LUZ HEDY</t>
  </si>
  <si>
    <t xml:space="preserve">Gestión Juridica </t>
  </si>
  <si>
    <t>TIQUETE TERRESTRE</t>
  </si>
  <si>
    <t>Emisora INCI Radio</t>
  </si>
  <si>
    <t>Producción y mercadeo social</t>
  </si>
  <si>
    <t>Proceso Responsable</t>
  </si>
  <si>
    <t xml:space="preserve">BELTRAN CHAMORRO EDWIN ENRIQUE </t>
  </si>
  <si>
    <t>CASTRO ÑUNGO MARTHA EMILIA</t>
  </si>
  <si>
    <t>CELY OCAÑO HERMES ARMANDO</t>
  </si>
  <si>
    <t>CORREA BARRERA LUZ MARLENY</t>
  </si>
  <si>
    <t>CORTES GALEANO SANDRA MARIA</t>
  </si>
  <si>
    <t>HOYOS CUBIDES LEIDY FERNANDA</t>
  </si>
  <si>
    <t>LOPEZ CORREA MYRIAM CRISTINA</t>
  </si>
  <si>
    <t>MAYA PEÑA LUIS IGNACIO</t>
  </si>
  <si>
    <t>PARRA GAMBA OLGA YOLANDA</t>
  </si>
  <si>
    <t>PEÑA CASTAÑEDA GLORIA JANNETH</t>
  </si>
  <si>
    <t>PULIDO CASAS GUSTAVO</t>
  </si>
  <si>
    <t>RODRIGUEZ ALVAREZ SANTIAGO ADOLFO</t>
  </si>
  <si>
    <t>VALDES LAGUNA CLAUDIA ALEJANDRA</t>
  </si>
  <si>
    <t>VERDUGO SANCHEZ ESPERANZA</t>
  </si>
  <si>
    <t>FORMATO PLAN DE ADQUISICIONES</t>
  </si>
  <si>
    <t>Proceso: Direccionamiento Estratégico</t>
  </si>
  <si>
    <t>INVERSIÓN</t>
  </si>
  <si>
    <t>Centro cultural</t>
  </si>
  <si>
    <t>Enero</t>
  </si>
  <si>
    <t>Contratación de prestación de servicios profesionales para administrar la biblioteca virtual para ciegos</t>
  </si>
  <si>
    <t>Realizar exposiciones permanentes y temporales para personas con discapacidad visual y público en general en la sala multisensorial</t>
  </si>
  <si>
    <t>Producir y emitir contenidos radiales para promover la inclusión de las personas con discapacidad visual</t>
  </si>
  <si>
    <t>Contratación elaboración de las colecciones de la sensoroteca</t>
  </si>
  <si>
    <t>Producir y publicar en formatos accesibles documentos digitales para personas con discapacidad visual</t>
  </si>
  <si>
    <t>Pago de derechos concesión frecuencia FM</t>
  </si>
  <si>
    <t>Agosto</t>
  </si>
  <si>
    <t>Contratación de prestación de servicios profesionales para producción general y locución de contenidos radiales sobre los derechos de la población con discapacidad visual</t>
  </si>
  <si>
    <t>Contratación de servicios  profesionales para la producción artística y la locución comercial</t>
  </si>
  <si>
    <t>Producir y adaptar material audiovisual para promover la inclusión de las personas con discapacidad visual</t>
  </si>
  <si>
    <t>Prestar servicios como interprete de señas para los videos elaborados en el centro audiovisual del Instituto Nacional para Ciegos en el marco de los derechos de la población con discapacidad.</t>
  </si>
  <si>
    <t>Valor inicial asignado</t>
  </si>
  <si>
    <t>FUNCIONAMIENTO</t>
  </si>
  <si>
    <t xml:space="preserve">Transcribir e imprimir libros, textos y material para las personas con discapacidad visual </t>
  </si>
  <si>
    <t xml:space="preserve">Disponer de material, productos y ayudas para la adquisición por parte de las  personas con discapacidad visual </t>
  </si>
  <si>
    <t xml:space="preserve">Contrato para la adquisición de planchas litográficas </t>
  </si>
  <si>
    <t>Adquisición de maquinas para la modernización de la imprenta</t>
  </si>
  <si>
    <t>SERVICIO</t>
  </si>
  <si>
    <t>Adquisición de insumos para la imprenta nacional para Ciegos</t>
  </si>
  <si>
    <t>Adquisición de pliegos de papel para la producción de la imprenta nacional para Ciegos</t>
  </si>
  <si>
    <t>4X1000</t>
  </si>
  <si>
    <t xml:space="preserve">Adquisición de material didáctico especializado y ayudas técnicas para personas con discapacidad visual </t>
  </si>
  <si>
    <t>Contratación de mantenimiento de maquinas y equipos de la imprenta Nacional para Ciegos</t>
  </si>
  <si>
    <t xml:space="preserve">Contratación de servicios  de apoyo a la gestion  (10) para la imprenta Nacional para Ciegos (elecciones de alcalde) </t>
  </si>
  <si>
    <t>Desarrollar campañas de comunicación relacionadas con la temática de discapacidad visual y el quehacer institucional</t>
  </si>
  <si>
    <t>1</t>
  </si>
  <si>
    <t>Adquisición de equipos para grabación de video y audio del centro audiovisual y para emisión y producción radial</t>
  </si>
  <si>
    <t>Adquisición de licencias de suite de office para los equipos de cómputo del INCI</t>
  </si>
  <si>
    <t>Adquisición de equipos de cómputo y almacenamiento para renovación de la plataforma del INCI</t>
  </si>
  <si>
    <t>Adquisición de Antivirus</t>
  </si>
  <si>
    <t>Servicio de Streaming para la Emisora Virtual INCI Radio, del Instituto Nacional para Ciegos</t>
  </si>
  <si>
    <t>2</t>
  </si>
  <si>
    <t>SUMINISTRO</t>
  </si>
  <si>
    <t>11</t>
  </si>
  <si>
    <t>10</t>
  </si>
  <si>
    <t>8</t>
  </si>
  <si>
    <t>9</t>
  </si>
  <si>
    <t xml:space="preserve">Código programa presupuestal </t>
  </si>
  <si>
    <t xml:space="preserve">Producto </t>
  </si>
  <si>
    <t>Contratación de prestación de servicios profesionales para apoyo del proceso jurídico y contractual de los proyectos de inversión</t>
  </si>
  <si>
    <t>MIGUEL PEÑA</t>
  </si>
  <si>
    <t>CUADROS ANDREA</t>
  </si>
  <si>
    <t>Prestar sus servicios como ingeniero de sistemas para soporte, desarrollo y mejoramiento en el SGD ORFEO del Instituto Nacional para Ciegos</t>
  </si>
  <si>
    <t>Soporte de Firewall</t>
  </si>
  <si>
    <t>Soporte de Directorio activo</t>
  </si>
  <si>
    <t>Servicio de mantenimiento y ajustes a IPv6 - Incluye permanencia en "LACNIC"</t>
  </si>
  <si>
    <t>Meta</t>
  </si>
  <si>
    <t>Objetivo</t>
  </si>
  <si>
    <t>Servicio de Educación Informal para la Gestión Administrativa</t>
  </si>
  <si>
    <t>Ejecutar el Programa de Bienestar para contribuir al mejoramiento de la Calidad de Vida de los servidores de la entidad</t>
  </si>
  <si>
    <t>Fortalecer las capacidades, conocimientos y habilidades de los servidores en el puesto de trabajo, a través de la implementación del Plan Institucional de Capacitación</t>
  </si>
  <si>
    <t>Sedes adecuadas</t>
  </si>
  <si>
    <t>Mejorar los espacios físicos y accesibilidad de la entidad Fase 1</t>
  </si>
  <si>
    <t>Servicio de gestión documental</t>
  </si>
  <si>
    <t>Actualizar y ejecutar el programa de gestión documental</t>
  </si>
  <si>
    <t>Implementar los instrumentos archivísticos en la entidad</t>
  </si>
  <si>
    <t>Servicio de Implementación Sistemas de Gestión</t>
  </si>
  <si>
    <t>Implementar el Sistema de Gestión y Seguridad en el Trabajo</t>
  </si>
  <si>
    <t>Implementar el Modelo Integrado de Planeación y Gestión</t>
  </si>
  <si>
    <t>Servicios de información actualizados</t>
  </si>
  <si>
    <t>Actualizar la plataforma tecnológica de la entidad</t>
  </si>
  <si>
    <t>Mejorar la seguridad de la información</t>
  </si>
  <si>
    <t>Servicio de asistencia técnica en educación con enfoque incluyente y de calidad</t>
  </si>
  <si>
    <t>Servicio de promoción y divulgación de los derechos de las personas con discapacidad</t>
  </si>
  <si>
    <t>Adquisición de Licencias Firewall</t>
  </si>
  <si>
    <t>Prestar servicios apoyo a la elaboración de estudios previos y  supervisión de la obra</t>
  </si>
  <si>
    <t>Contratar servicio de salud ocupacional y laboral</t>
  </si>
  <si>
    <t>Contratación de servicios  de apoyo a la gestion  para la imprenta Nacional para Ciegos</t>
  </si>
  <si>
    <t>Fortalecer las condiciones de actores públicos y privados para la inclusión de las personas con discapacidad visual</t>
  </si>
  <si>
    <t>Dotar instituciones que atiendan personas con discapacidad visual con libros y textos en braille y material en relieve y macrotipo</t>
  </si>
  <si>
    <t>Asesorar a las instancias competentes para promover la empleabilidad de las personas con discapacidad visual</t>
  </si>
  <si>
    <t>Brindar asesoría a entidades publicas y privadas que generen condiciones de accesibilidad al espacio físico, a la información y al uso de tecnología especializada para las personas con discapacidad visual</t>
  </si>
  <si>
    <t>Brindar asistencia técnica en educación a las entidades territoriales certificadas para  el mejoramiento de los procesos de atención de las personas con discapacidad visual</t>
  </si>
  <si>
    <t>Desarrollar ejercicios de investigación para mejorar las condiciones de inclusión de las personas con discapacidad visual</t>
  </si>
  <si>
    <t>Gestionar documentos de propuestas normativas para hacer efectivos los derechos de las personas con discapacidad visual</t>
  </si>
  <si>
    <t>Fortalecimiento de procesos y recursos del INCI para contribuir con el mejoramiento de servicios a las personas con discapacidad visual nacional</t>
  </si>
  <si>
    <t>Fortalecer la capacidad institucional para apoyar la gestión de los procesos misionales y el cumplimiento de los objetivos del INCI</t>
  </si>
  <si>
    <t>Mejoramiento de las condiciones para la garantía de los derechos de las Personas con discapacidad visual en el país.</t>
  </si>
  <si>
    <t>Contrato de prestación de servicios para fortalecer las capacidades, conocimientos y habilidades de los servidores públicos</t>
  </si>
  <si>
    <t>Servicio de soporte, mantenimiento y actualizaciones del aplicativo WEBSAFI</t>
  </si>
  <si>
    <t>Servicio de mantenimiento MV y actualización SERVERCENTER</t>
  </si>
  <si>
    <t>GOMEZ RAMÍREZ JUAN ESTEBAN</t>
  </si>
  <si>
    <t xml:space="preserve">Contratacion prestación de servicios para el acceso a la cultura de las PDV </t>
  </si>
  <si>
    <t>Contratación de servicios profesionales para realizar la locución de audio descripción</t>
  </si>
  <si>
    <t xml:space="preserve">VIÁTICOS </t>
  </si>
  <si>
    <t>4x1000 Mejoramiento de la Calidad, cobertura y sostenibilidad de la dotación de material</t>
  </si>
  <si>
    <t>Formato cronograma plan de acción anual</t>
  </si>
  <si>
    <t>Código:OAP-101-FM-175</t>
  </si>
  <si>
    <t>Versión:4</t>
  </si>
  <si>
    <t>Vigencia:27/10/2017</t>
  </si>
  <si>
    <t>Nombre Meta</t>
  </si>
  <si>
    <t>Región</t>
  </si>
  <si>
    <t>Departamento</t>
  </si>
  <si>
    <t>Municipio</t>
  </si>
  <si>
    <t>Nombre servidor público o contratista</t>
  </si>
  <si>
    <t>Viáticos Día</t>
  </si>
  <si>
    <t>Número de Días</t>
  </si>
  <si>
    <t>SubTotal Viáticos</t>
  </si>
  <si>
    <t>Numero de viajes</t>
  </si>
  <si>
    <t>Total viáticos</t>
  </si>
  <si>
    <t>Costo Tiquete aéreo</t>
  </si>
  <si>
    <t>Numero de tiquetes aéreos</t>
  </si>
  <si>
    <t>Costo total tiquetes aéreos</t>
  </si>
  <si>
    <t>Costo Tiquete terrestre</t>
  </si>
  <si>
    <t>Número de viajes</t>
  </si>
  <si>
    <t>Costo total tiquete terrestre</t>
  </si>
  <si>
    <t>Total</t>
  </si>
  <si>
    <t>MEJORAMIENTO DE LAS CONDICIONES PARA A GARANTIA DE LOS DERECHOS DE LAS pdv EN EL PAIS</t>
  </si>
  <si>
    <t>Educación</t>
  </si>
  <si>
    <t>Sur</t>
  </si>
  <si>
    <t>Amazonas</t>
  </si>
  <si>
    <t xml:space="preserve">Leticia (no)
</t>
  </si>
  <si>
    <t xml:space="preserve">Leticia
</t>
  </si>
  <si>
    <t>Eje cafetero</t>
  </si>
  <si>
    <t>Antioquia</t>
  </si>
  <si>
    <t>Medellin (si)</t>
  </si>
  <si>
    <t>ANDRADE LOZADA PEDRO</t>
  </si>
  <si>
    <t>Medellin</t>
  </si>
  <si>
    <t>Llanos</t>
  </si>
  <si>
    <t>Arauca</t>
  </si>
  <si>
    <t>Arauca (no)</t>
  </si>
  <si>
    <t>Contratista 2</t>
  </si>
  <si>
    <t>Caribe</t>
  </si>
  <si>
    <t>Atlántico</t>
  </si>
  <si>
    <t>Barranquilla (si)</t>
  </si>
  <si>
    <t>Barranquilla</t>
  </si>
  <si>
    <t>Bolívar</t>
  </si>
  <si>
    <t>Cartagena (si)</t>
  </si>
  <si>
    <t>Contratista 1</t>
  </si>
  <si>
    <t>Cartagena</t>
  </si>
  <si>
    <t>Centro</t>
  </si>
  <si>
    <t>Boyacá</t>
  </si>
  <si>
    <t>Tunja (si)</t>
  </si>
  <si>
    <t>Tunja</t>
  </si>
  <si>
    <t>Caldas</t>
  </si>
  <si>
    <t>Manizales (si)</t>
  </si>
  <si>
    <t>Manizales</t>
  </si>
  <si>
    <t>Caquetá</t>
  </si>
  <si>
    <t>Florencia (si)</t>
  </si>
  <si>
    <t>Florencia</t>
  </si>
  <si>
    <t>Casanare</t>
  </si>
  <si>
    <t>Yopal (si)</t>
  </si>
  <si>
    <t>Yopal</t>
  </si>
  <si>
    <t>Pacífico</t>
  </si>
  <si>
    <t>Cauca</t>
  </si>
  <si>
    <t>Popayan (si)</t>
  </si>
  <si>
    <t>Popayan</t>
  </si>
  <si>
    <t>Cesar</t>
  </si>
  <si>
    <t>Valledupar (si)</t>
  </si>
  <si>
    <t>Valledupar</t>
  </si>
  <si>
    <t>Chocó</t>
  </si>
  <si>
    <t>Quibdo (si)</t>
  </si>
  <si>
    <t>Quibdo</t>
  </si>
  <si>
    <t>Córdoba</t>
  </si>
  <si>
    <t>Monteria (si)</t>
  </si>
  <si>
    <t>Monteria</t>
  </si>
  <si>
    <t>Cundinamarca</t>
  </si>
  <si>
    <t>N.A.</t>
  </si>
  <si>
    <t>Guainía</t>
  </si>
  <si>
    <t>Inírida (no)</t>
  </si>
  <si>
    <t xml:space="preserve">Inírida </t>
  </si>
  <si>
    <t>Guaviare</t>
  </si>
  <si>
    <t>San Jose del Guaviare (no)</t>
  </si>
  <si>
    <t>San Jose del Guaviare</t>
  </si>
  <si>
    <t>Huila</t>
  </si>
  <si>
    <t>Neiva (si)</t>
  </si>
  <si>
    <t>Neiva</t>
  </si>
  <si>
    <t>La Guajira</t>
  </si>
  <si>
    <t>Riohacha (si)</t>
  </si>
  <si>
    <t>Riohacha</t>
  </si>
  <si>
    <t>Magdalena</t>
  </si>
  <si>
    <t>Santa Marta (si)</t>
  </si>
  <si>
    <t>Santa Marta</t>
  </si>
  <si>
    <t>Villavicencio (si)</t>
  </si>
  <si>
    <t>Villavicencio</t>
  </si>
  <si>
    <t>Nariño</t>
  </si>
  <si>
    <t>Pasto (si)</t>
  </si>
  <si>
    <t>Pasto</t>
  </si>
  <si>
    <t>Centro Oriente</t>
  </si>
  <si>
    <t>Norte de Santander</t>
  </si>
  <si>
    <t>Cucuta (si)</t>
  </si>
  <si>
    <t>Cucuta</t>
  </si>
  <si>
    <t>Putumayo</t>
  </si>
  <si>
    <t>Mocoa (no)</t>
  </si>
  <si>
    <t>Mocoa</t>
  </si>
  <si>
    <t>Quindío</t>
  </si>
  <si>
    <t>Armenia (si)</t>
  </si>
  <si>
    <t>Armenia</t>
  </si>
  <si>
    <t>Risaralda</t>
  </si>
  <si>
    <t>Pereira (si)</t>
  </si>
  <si>
    <t>Pereira</t>
  </si>
  <si>
    <t>San Andrés y Providencia</t>
  </si>
  <si>
    <t>San Andrés (no)</t>
  </si>
  <si>
    <t>San Andrés</t>
  </si>
  <si>
    <t>Santander</t>
  </si>
  <si>
    <t>Bucaramanga (si)</t>
  </si>
  <si>
    <t>Bucaramanga</t>
  </si>
  <si>
    <t>Sucre</t>
  </si>
  <si>
    <t>Sincelejo (si)</t>
  </si>
  <si>
    <t>Sincelejo</t>
  </si>
  <si>
    <t>Tolima</t>
  </si>
  <si>
    <t>Ibagué (si)</t>
  </si>
  <si>
    <t>Ibagué</t>
  </si>
  <si>
    <t>Valle del Cauca</t>
  </si>
  <si>
    <t>Cali (si)</t>
  </si>
  <si>
    <t>Cali</t>
  </si>
  <si>
    <t>Vaupés</t>
  </si>
  <si>
    <t>Mitú (no)</t>
  </si>
  <si>
    <t>Mitú</t>
  </si>
  <si>
    <t>Vichada</t>
  </si>
  <si>
    <t>Puerto Carreño (no)</t>
  </si>
  <si>
    <t>Puerto Carreño</t>
  </si>
  <si>
    <t>Accesibilidad</t>
  </si>
  <si>
    <t>Leticia</t>
  </si>
  <si>
    <t>San Jose</t>
  </si>
  <si>
    <t>Ibague</t>
  </si>
  <si>
    <t xml:space="preserve">Por definir </t>
  </si>
  <si>
    <t>Vaupes</t>
  </si>
  <si>
    <t>Mitu</t>
  </si>
  <si>
    <t xml:space="preserve"> Valle del Cauca</t>
  </si>
  <si>
    <t>Gestión interinstitucional</t>
  </si>
  <si>
    <t>Guainia</t>
  </si>
  <si>
    <t>Inirida</t>
  </si>
  <si>
    <t>Boyaca</t>
  </si>
  <si>
    <t>OJO $15,000,000 investigación</t>
  </si>
  <si>
    <t>Servicio de producción de contenidos para promover y garantizar el acceso a la información y a la comunicación para personas discapacitadas</t>
  </si>
  <si>
    <t xml:space="preserve">Empleo </t>
  </si>
  <si>
    <t>Organizaciones</t>
  </si>
  <si>
    <t xml:space="preserve">Promover y asesorar a organizaciones sociales y  otros colectivos de personas con discapacidad, para  la participación y el ejercicio de sus derechos </t>
  </si>
  <si>
    <t>Contratación servicio 472</t>
  </si>
  <si>
    <t>Emisora</t>
  </si>
  <si>
    <t>Contrato prestación de servicios disposición final desechos peligrosos Imprenta Nacional para Ciegos</t>
  </si>
  <si>
    <t>Desarrollar talleres especializados en temas relacionados con la discapacidad visual</t>
  </si>
  <si>
    <t>Tiquete terrestre regiones</t>
  </si>
  <si>
    <t>NA</t>
  </si>
  <si>
    <t>TIQUETE AÉREO</t>
  </si>
  <si>
    <t>Desarrollo de proyecto sensoroteca, sonoroteca, proyecto centro cultural y sala de exposiciones para garantizar el derecho de acceso a la cultura de las personas con discapacidad visual que sirva de referente a otras entidades en el tema de accesibilidad</t>
  </si>
  <si>
    <t>enero</t>
  </si>
  <si>
    <t>02 01 01 003 08 01 2</t>
  </si>
  <si>
    <t>02 02 01 002 03 05</t>
  </si>
  <si>
    <t>DOTACIÓN (PRENDAS DE VESTIR Y CALZADO)</t>
  </si>
  <si>
    <t>02 02 01 002 03 08</t>
  </si>
  <si>
    <t>02 02 01 002 08</t>
  </si>
  <si>
    <t xml:space="preserve">02 02 009 06 09 </t>
  </si>
  <si>
    <t>Gastos de personal - Honorarios- Consejo directivo</t>
  </si>
  <si>
    <t>Caja menor - Gastos judiciales</t>
  </si>
  <si>
    <t xml:space="preserve">CAJA MENOR </t>
  </si>
  <si>
    <t>Adquisición de equipos de seguridad y vigilancia</t>
  </si>
  <si>
    <t xml:space="preserve">Mantenimiento servidor y actualización sistema telefónico IP - Elastix </t>
  </si>
  <si>
    <t>Servicio Internet - Canal principal</t>
  </si>
  <si>
    <t>Contratación mantenimiento correctivo y preventivo de Impresoras, scanner y otros dispositivos de informática</t>
  </si>
  <si>
    <t>Contrato bolsa de repuestos para impresoras, scanner y otros dispositivos de informática</t>
  </si>
  <si>
    <t>Control Interno</t>
  </si>
  <si>
    <t>Contrato de prestación de servicios como apoyo a la oficina de control interno</t>
  </si>
  <si>
    <t>MAGDALENA PEDRAZA DAZA</t>
  </si>
  <si>
    <t>Mantenimiento preventivo y correctivo por horas,  de equipos de redes WI-FI AP, Switch Core y Borde, controladoras  relacionadas, actualización, implementaciones, configuraciones de propiedad del INCI</t>
  </si>
  <si>
    <t>02 02 02 009 02 09</t>
  </si>
  <si>
    <t>Contratación de servicios para el apoyo de gestión documental 1</t>
  </si>
  <si>
    <t>Contratación de servicios para el apoyo de gestión documental 2</t>
  </si>
  <si>
    <t>Contratar prestación de servicio para actividades de estructuración  y catalogación de textos 1</t>
  </si>
  <si>
    <t>Contratar prestación de servicio para actividades de estructuración  y catalogación de textos 2</t>
  </si>
  <si>
    <t>Contratación de prestación de servicios profesionales de diseño y corrección de estilo para la imprenta nacional para ciegos 1</t>
  </si>
  <si>
    <t>Contratación de servicios de apoyo a la gestión para la imprenta Nacional para Ciegos 1</t>
  </si>
  <si>
    <t>Contratación de servicios de apoyo a la gestión para la imprenta Nacional para Ciegos 2</t>
  </si>
  <si>
    <t>Nación 10</t>
  </si>
  <si>
    <t>Proyecto Misional</t>
  </si>
  <si>
    <t>Proyecto Apoyo</t>
  </si>
  <si>
    <t>Funcionamiento</t>
  </si>
  <si>
    <t>02 02 02 008 07 01 3</t>
  </si>
  <si>
    <t>02 02 02 008 02 01</t>
  </si>
  <si>
    <t>02 02 01 000 01 06</t>
  </si>
  <si>
    <t>02 02 01 003 05 05</t>
  </si>
  <si>
    <t>02 02 01 003 06 04</t>
  </si>
  <si>
    <t>02 02 01 003 06 09</t>
  </si>
  <si>
    <t>02 02 01 003 07 01</t>
  </si>
  <si>
    <t>02 02 02 008 07 02 9</t>
  </si>
  <si>
    <t>02 02 02 009 04 05</t>
  </si>
  <si>
    <t>02 02 02 009 07 01</t>
  </si>
  <si>
    <t>7,44,011.589</t>
  </si>
  <si>
    <t xml:space="preserve">Accesibilidad </t>
  </si>
  <si>
    <t>Gestión Interinstitucional</t>
  </si>
  <si>
    <t>Contratar prestación de servicio para actividades de estructuración  y catalogación de textos 3</t>
  </si>
  <si>
    <t>Nombre del Evento</t>
  </si>
  <si>
    <t>Fecha</t>
  </si>
  <si>
    <t xml:space="preserve">Número de personas asistentes </t>
  </si>
  <si>
    <t>Lugar del evento</t>
  </si>
  <si>
    <t>Número de tiquetes aéreos</t>
  </si>
  <si>
    <t>Costo tiquetes aéreos</t>
  </si>
  <si>
    <t>Número de tiquetes terrestres</t>
  </si>
  <si>
    <t>Costo Tiquete Terrestre</t>
  </si>
  <si>
    <t>Costo total tiquetes terrestres</t>
  </si>
  <si>
    <t>Hospedaje</t>
  </si>
  <si>
    <t>Cantidad de personas con hospedaje</t>
  </si>
  <si>
    <t>Número de refrigerios</t>
  </si>
  <si>
    <t>Costo Refrigerios</t>
  </si>
  <si>
    <t>Costo total Refigerios</t>
  </si>
  <si>
    <t>Costo total evento</t>
  </si>
  <si>
    <t>Mayo de 2019</t>
  </si>
  <si>
    <t>Bogotá
Hotel Tequendama o el que se determine</t>
  </si>
  <si>
    <t>NO</t>
  </si>
  <si>
    <t>AGORA</t>
  </si>
  <si>
    <t>Abril de 2019</t>
  </si>
  <si>
    <t>Bogotá
Auditorio INCI</t>
  </si>
  <si>
    <t>Organizaciones o entidad que los agrupe</t>
  </si>
  <si>
    <t>Agosto de 2019</t>
  </si>
  <si>
    <t>Socilización Guía de derechos</t>
  </si>
  <si>
    <t>Diciembre de 2019</t>
  </si>
  <si>
    <t>Encuentro Nacional de Docentes decr 1421/17</t>
  </si>
  <si>
    <t>Noviembre de 2019</t>
  </si>
  <si>
    <t xml:space="preserve">III Encuentro Nacional de Comunicadores de las regiones con discapacidad visual </t>
  </si>
  <si>
    <t>SI</t>
  </si>
  <si>
    <t>Bogocine</t>
  </si>
  <si>
    <t>Septiembre de 2018</t>
  </si>
  <si>
    <t>Navidad en braille</t>
  </si>
  <si>
    <t>Diciembre de 2018</t>
  </si>
  <si>
    <t>Rendición de cuentas</t>
  </si>
  <si>
    <t xml:space="preserve">Feria del libro </t>
  </si>
  <si>
    <t>Pendiente</t>
  </si>
  <si>
    <t>CORFERIAS</t>
  </si>
  <si>
    <t>Grupo</t>
  </si>
  <si>
    <t xml:space="preserve">Contratación de suministro de elementos para el diseño y montaje de las exposiciones temporales </t>
  </si>
  <si>
    <t>Contratación de prestación de servicios profesionales de diseño y corrección de estilo para la imprenta nacional para ciegos 2</t>
  </si>
  <si>
    <t>Tiquete terrestre (fomento de la lectura; bibliotecas regionales; universidades)</t>
  </si>
  <si>
    <t>Viáticos (fomento de la lectura; bibliotecas regionales; universidades)</t>
  </si>
  <si>
    <t>Viáticos</t>
  </si>
  <si>
    <t>Caja menor - Materiales y suministro</t>
  </si>
  <si>
    <t xml:space="preserve">Caja menor - Mantenimiento </t>
  </si>
  <si>
    <t>Caja menor - Comunicaciones y transporte</t>
  </si>
  <si>
    <t>02 02 01 003 02</t>
  </si>
  <si>
    <t>02 02 01 002</t>
  </si>
  <si>
    <t>02 02 02 008 07</t>
  </si>
  <si>
    <t>02 02 02 006 04</t>
  </si>
  <si>
    <t xml:space="preserve">Tequendama </t>
  </si>
  <si>
    <t>Costo por persona</t>
  </si>
  <si>
    <t>Evento nacional de organizaciones o entidad que los agrupe</t>
  </si>
  <si>
    <t xml:space="preserve">II Festival de cine para ciegos </t>
  </si>
  <si>
    <t>Cuento en braille</t>
  </si>
  <si>
    <t>Octubre de 2019</t>
  </si>
  <si>
    <t>Septiembre de 2019</t>
  </si>
  <si>
    <t xml:space="preserve">Evento cierre de año </t>
  </si>
  <si>
    <t>Encuentro de adulto mayor</t>
  </si>
  <si>
    <t>Presentación de los proyectos de ley</t>
  </si>
  <si>
    <t>Comunicaciónes</t>
  </si>
  <si>
    <t>Objeto del gasto presupuestal</t>
  </si>
  <si>
    <t>02 02 02</t>
  </si>
  <si>
    <t>Propios 20</t>
  </si>
  <si>
    <t>Propios 21</t>
  </si>
  <si>
    <t>Contrato de prestación de servicios profesionales para educación 2</t>
  </si>
  <si>
    <t>Contrato de prestación de servicios de un Ingeniero de sistema con experiencia en accesibilidad</t>
  </si>
  <si>
    <t>Contratación de intérpretes para fortalecer la participación de las personas sordo-ciegas en los encuentros del INCI</t>
  </si>
  <si>
    <t>Evento para fortalecer las condiciones de actores públicos y privados para la inclusión de las personas con discapacidad visual (Educación)</t>
  </si>
  <si>
    <t xml:space="preserve">Evento para fortalecer las condiciones de actores públicos y privados para la inclusión de las personas con discapacidad visual (accesibilidad) </t>
  </si>
  <si>
    <t>Evento para fortalecer las condiciones de actores públicos y privados para la inclusión de las personas con discapacidad visual (Guía y proyecto de ley )</t>
  </si>
  <si>
    <t>Evento para fortalecer las condiciones de actores públicos y privados para la inclusión de las personas con discapacidad visual (Eventos institucionales)</t>
  </si>
  <si>
    <t>Tiquetes aéreos</t>
  </si>
  <si>
    <t xml:space="preserve">Contratación de prestación de servicio de ingeniero desarrollador master </t>
  </si>
  <si>
    <t xml:space="preserve">Mínima cuantía </t>
  </si>
  <si>
    <t>Febrero</t>
  </si>
  <si>
    <t>Marzo</t>
  </si>
  <si>
    <t>Abril</t>
  </si>
  <si>
    <t>Junio</t>
  </si>
  <si>
    <t>Septiembre</t>
  </si>
  <si>
    <t>Mayo</t>
  </si>
  <si>
    <t>Noviembre</t>
  </si>
  <si>
    <t xml:space="preserve">Otros tipos de educación y servicios de apoyo educativo </t>
  </si>
  <si>
    <t>Adquisición de impresoras multifuncionales</t>
  </si>
  <si>
    <t>Adquisición escáner de secretarias</t>
  </si>
  <si>
    <t>Adquisición accesspoint y fortin analyzer (internet gratis para la gente)</t>
  </si>
  <si>
    <t>Contratación de servicios para el apoyo del área Disciplinaria</t>
  </si>
  <si>
    <t xml:space="preserve">Febrero </t>
  </si>
  <si>
    <t>Plantas aromáticas, bebestibles y especias</t>
  </si>
  <si>
    <t>Azúcar</t>
  </si>
  <si>
    <t>Productos del café</t>
  </si>
  <si>
    <t>Pasta de papel, papel y cartón</t>
  </si>
  <si>
    <t>Gas de petróleo y otros hidrocarburos gaseosos (excepto gas natural)</t>
  </si>
  <si>
    <t>Otros artículos manufacturados n.c.p.</t>
  </si>
  <si>
    <t>Servicios de transporte de pasajeros</t>
  </si>
  <si>
    <t>Servicios de distribución de electricidad, y servicios de distribución de gas (por cuenta propia)</t>
  </si>
  <si>
    <t>Servicios de distribución de agua (por cuenta propia)</t>
  </si>
  <si>
    <t>Servicios de telefonía y otras telecomunicaciones</t>
  </si>
  <si>
    <t>Servicios de investigación y seguridad</t>
  </si>
  <si>
    <t>Servicios de limpieza</t>
  </si>
  <si>
    <t>Servicios de mantenimiento y reparación de computadores y equipo periférico</t>
  </si>
  <si>
    <t>Servicios de mantenimiento y reparación de maquinaria y equipo de transporte</t>
  </si>
  <si>
    <t>Servicios de mantenimiento y reparación de otra maquinaria y otro equipo</t>
  </si>
  <si>
    <t>Servicios de mantenimiento y reparación de otros bienes n.c.p.</t>
  </si>
  <si>
    <t>Servicios de saneamiento y similares</t>
  </si>
  <si>
    <t>Servicios de lavado, limpieza y teñido</t>
  </si>
  <si>
    <t>Fibras textiles manufacturadas</t>
  </si>
  <si>
    <t>Productos de empaque y envasado, de plástico</t>
  </si>
  <si>
    <t>Caja menor - Papelería, útiles de escritorio y oficina</t>
  </si>
  <si>
    <t>Caja menor - Productos de cafetería y restaurante</t>
  </si>
  <si>
    <t>Caja menor - Mantenimiento de bienes inmuebles</t>
  </si>
  <si>
    <t>Caja menor - Mantenimiento de bienes muebles equipos y enseres</t>
  </si>
  <si>
    <t xml:space="preserve">Caja menor - Transporte                    </t>
  </si>
  <si>
    <t>Caja menor - Mantenimiento</t>
  </si>
  <si>
    <t>Otros productos plásticos</t>
  </si>
  <si>
    <t>Vidrio y productos de vidrio</t>
  </si>
  <si>
    <t>Centro Cultural</t>
  </si>
  <si>
    <t xml:space="preserve">Gestión Humana y de la información  (Administración Documental) </t>
  </si>
  <si>
    <t>Gestión Humana y de la Información</t>
  </si>
  <si>
    <t xml:space="preserve">02 02 01 003 05 03  </t>
  </si>
  <si>
    <t>Jabón, preparados para limpieza, perfumes y preparados de tocador</t>
  </si>
  <si>
    <t xml:space="preserve">02 02 01 003 06 03 </t>
  </si>
  <si>
    <t>Semimanufacturas de plástico</t>
  </si>
  <si>
    <t>Menor Cuantía</t>
  </si>
  <si>
    <t>CPA</t>
  </si>
  <si>
    <t>MC-01</t>
  </si>
  <si>
    <t>MC-02</t>
  </si>
  <si>
    <t>MC-03</t>
  </si>
  <si>
    <t>FP-01</t>
  </si>
  <si>
    <t>FP-02</t>
  </si>
  <si>
    <t>FP-03</t>
  </si>
  <si>
    <t>FP-04</t>
  </si>
  <si>
    <t>FP-05</t>
  </si>
  <si>
    <t>GG01</t>
  </si>
  <si>
    <t>GG02</t>
  </si>
  <si>
    <t>GG03</t>
  </si>
  <si>
    <t>GG05</t>
  </si>
  <si>
    <t>GG06</t>
  </si>
  <si>
    <t>02 02 02 005 04 01 2</t>
  </si>
  <si>
    <t xml:space="preserve">02 02 02 006 04  </t>
  </si>
  <si>
    <t xml:space="preserve">02 02 02 006 09 01 </t>
  </si>
  <si>
    <t xml:space="preserve">02 02 02 006 09 02 </t>
  </si>
  <si>
    <t>GG07</t>
  </si>
  <si>
    <t>GG08</t>
  </si>
  <si>
    <t>02 02 02 008 03 09</t>
  </si>
  <si>
    <t>02 02 02 008 07 01 4</t>
  </si>
  <si>
    <t>02 02 02 008 07 01 5</t>
  </si>
  <si>
    <t xml:space="preserve">02 02 02 008 05 03 </t>
  </si>
  <si>
    <t>02 02 02 008 01 03</t>
  </si>
  <si>
    <t xml:space="preserve">02 02 02 008 04 01 </t>
  </si>
  <si>
    <t xml:space="preserve">02 02 02 008 05 02 </t>
  </si>
  <si>
    <t>GG09</t>
  </si>
  <si>
    <t>GG04</t>
  </si>
  <si>
    <t>02 02 02 01 004 07</t>
  </si>
  <si>
    <t xml:space="preserve">02 02 01 003 02 01 </t>
  </si>
  <si>
    <t xml:space="preserve">02 02 01 003 03 04 </t>
  </si>
  <si>
    <t xml:space="preserve">02 02 01 003 08 09 </t>
  </si>
  <si>
    <t>02 02 02 008 07 02 9 20</t>
  </si>
  <si>
    <t>Fecha estimada de presentación de ofertas (mes)</t>
  </si>
  <si>
    <t>meses</t>
  </si>
  <si>
    <t>Contratar el servicio de hosting para el alojamiento de la página web y aplicaciones del Instituto Nacional Para Ciegos - INCI, acorde con el anexo técnico, los estudios previos y el pliego de condiciones.</t>
  </si>
  <si>
    <t xml:space="preserve">Seguros </t>
  </si>
  <si>
    <t>02 02 007</t>
  </si>
  <si>
    <t>GG10</t>
  </si>
  <si>
    <t>119</t>
  </si>
  <si>
    <t>Contratación de servicios profesionales para conseguir free press y la visualización de los mensajes institucionales en medios masivos de comunicación.</t>
  </si>
  <si>
    <t>Contratación de adquisición de bienes para garantizar el acceso a la información y contenidos del INCI en las regiones.</t>
  </si>
  <si>
    <t>Contratación de servicios profesionales para la generación y administración de contenidos de los medios Institucionales</t>
  </si>
  <si>
    <t>Contratación de servicios profesionales para el diseño de piezas gráficas para los medios Institucionales</t>
  </si>
  <si>
    <t>Contratación de servicios profesionales para el desarrollo y administración de los canales digitales de comunicación del INCI</t>
  </si>
  <si>
    <t xml:space="preserve">Contratación de un tecnólogo para producción de contenidos web y radiales </t>
  </si>
  <si>
    <t>Contratación de un tecnólogo para producción de contenidos web y radiales</t>
  </si>
  <si>
    <t>219</t>
  </si>
  <si>
    <t xml:space="preserve">Contratación de servicios para el apoyo del área Financiera </t>
  </si>
  <si>
    <t xml:space="preserve">Contratación de servicios para el apoyo del área Administrativa </t>
  </si>
  <si>
    <t>719</t>
  </si>
  <si>
    <t>1219</t>
  </si>
  <si>
    <t>1319</t>
  </si>
  <si>
    <t>Contrato de prestación de servicios técnicos de apoyo integral a la gestión y demás actividades dentro del proceso de Gestión Humana y su Plan Estrategico de Recursos Humanos</t>
  </si>
  <si>
    <t>LA PREVISORA S A COMPAÑIA DE SEGUROS</t>
  </si>
  <si>
    <t>096-2018</t>
  </si>
  <si>
    <t>SERVIASEO S A</t>
  </si>
  <si>
    <t>003-2019</t>
  </si>
  <si>
    <t>EDGAR MAURICIO BALLEN</t>
  </si>
  <si>
    <t>1119</t>
  </si>
  <si>
    <t>002-2019</t>
  </si>
  <si>
    <t>001-2019</t>
  </si>
  <si>
    <t>1019</t>
  </si>
  <si>
    <t>MARIA  AURORA CASTRO</t>
  </si>
  <si>
    <t>MYRIAN HORTENCIA MORANTES</t>
  </si>
  <si>
    <t>004-2019</t>
  </si>
  <si>
    <t>005-2019</t>
  </si>
  <si>
    <t>FANNY EDITH QUIROGA</t>
  </si>
  <si>
    <t>LAURA CARTAGENA</t>
  </si>
  <si>
    <t>006-2019</t>
  </si>
  <si>
    <t>4</t>
  </si>
  <si>
    <t>Vigencia Futura Servicios de telefonía y otras telecomunicaciones</t>
  </si>
  <si>
    <t>013-2019</t>
  </si>
  <si>
    <t>ADRIANA CATALINA PARDO</t>
  </si>
  <si>
    <t>012-2019</t>
  </si>
  <si>
    <t>ANGELA PATRICIA CORTES</t>
  </si>
  <si>
    <t>Saldo CDP - NACIÓN 10</t>
  </si>
  <si>
    <t>Contratación por prestación de apoyo a la gestión institucional en las localidades de Bogotá</t>
  </si>
  <si>
    <t>Saldo CDP - PROPIOS 20</t>
  </si>
  <si>
    <t>015-2019</t>
  </si>
  <si>
    <t>NICOLAS MONROY SANZ</t>
  </si>
  <si>
    <t>016-2019</t>
  </si>
  <si>
    <t>JEFFERSON CARDENAS GARZON</t>
  </si>
  <si>
    <t>014-2019</t>
  </si>
  <si>
    <t>HIGH QUALITY SOLUTIONS</t>
  </si>
  <si>
    <t>Mínima Cuantía</t>
  </si>
  <si>
    <t>83121703</t>
  </si>
  <si>
    <t>Refrigerios</t>
  </si>
  <si>
    <t>1819</t>
  </si>
  <si>
    <t xml:space="preserve">
IFX NETWORKS COLOMBIA</t>
  </si>
  <si>
    <t>050-2018</t>
  </si>
  <si>
    <t>2919</t>
  </si>
  <si>
    <t>3619</t>
  </si>
  <si>
    <t>019-2019</t>
  </si>
  <si>
    <t>CANO ALBORNOZ MARTHA PATRICIA</t>
  </si>
  <si>
    <t>2219</t>
  </si>
  <si>
    <t>010-2019</t>
  </si>
  <si>
    <t>1919</t>
  </si>
  <si>
    <t>PINZÓN PACANCHIQUE VIVIANA MARCELA</t>
  </si>
  <si>
    <t>007-2019</t>
  </si>
  <si>
    <t>2019</t>
  </si>
  <si>
    <t>MORENO VARGAS WILLIAM ALIRIO</t>
  </si>
  <si>
    <t>008-2019</t>
  </si>
  <si>
    <t>CABALLERO GARCIA LAURA VIVIANA</t>
  </si>
  <si>
    <t>009-2019</t>
  </si>
  <si>
    <t>PINTOR GUTIERREZ CAMILO ANDRES</t>
  </si>
  <si>
    <t>020-2019</t>
  </si>
  <si>
    <t>SOFTWARE HOUSE LTDA</t>
  </si>
  <si>
    <t>018-2019</t>
  </si>
  <si>
    <t>CODENSA S.A ESP</t>
  </si>
  <si>
    <t>3219</t>
  </si>
  <si>
    <t>CARRASCAL ROMERO MARIA CRISTINA</t>
  </si>
  <si>
    <t>017-2019</t>
  </si>
  <si>
    <t>2619</t>
  </si>
  <si>
    <t>QUINTANA GRANADA JEISSON ANDRES</t>
  </si>
  <si>
    <t>011-2019</t>
  </si>
  <si>
    <t>24-01-2019</t>
  </si>
  <si>
    <t xml:space="preserve">Servicio de producción de contenidos para promover y garantizar el acceso a la información y a la comunicación para personas con discapacidad </t>
  </si>
  <si>
    <t>A-02-02-02-008-003-09</t>
  </si>
  <si>
    <t>02-02-02-008-003-03</t>
  </si>
  <si>
    <t>A-02-02-02-008-002-02</t>
  </si>
  <si>
    <t>A-02-02-02-008-001-03</t>
  </si>
  <si>
    <t>A-02-02-02-006-008</t>
  </si>
  <si>
    <t>A-02-02-02-006-004</t>
  </si>
  <si>
    <t>A-02-02-02-008-007-01-5</t>
  </si>
  <si>
    <t>A-02-02-01-003-002-08</t>
  </si>
  <si>
    <t>A-02-02-02-009-004-03</t>
  </si>
  <si>
    <t>A-02-02-01-004-007-08</t>
  </si>
  <si>
    <t>A-02-01-01-003-008-01-4</t>
  </si>
  <si>
    <t>A-02-02-02-008-002-01</t>
  </si>
  <si>
    <t>A-02-02-02-008-004-06</t>
  </si>
  <si>
    <t>A-02-02-01-003-002-06</t>
  </si>
  <si>
    <t>A-02-02-02-009-003-01</t>
  </si>
  <si>
    <t>A-02-02-02-008-007-01-3</t>
  </si>
  <si>
    <t>A-02-02-02-008-007-02-9</t>
  </si>
  <si>
    <t>A-02-02-02-008-005-02</t>
  </si>
  <si>
    <t>A-02-02-01-004-005-02</t>
  </si>
  <si>
    <t>A-02-02-02-008-004-02</t>
  </si>
  <si>
    <t>4219</t>
  </si>
  <si>
    <t>4319</t>
  </si>
  <si>
    <t>4419</t>
  </si>
  <si>
    <t>3519-4519</t>
  </si>
  <si>
    <t>Saldo CDP - PROPIOS 21</t>
  </si>
  <si>
    <t>A-02-02-02-009-002-09</t>
  </si>
  <si>
    <t>A-02-02-02-010</t>
  </si>
  <si>
    <t>A-02-02-01-003-006-09</t>
  </si>
  <si>
    <t>A-02-02-02-006-003-03</t>
  </si>
  <si>
    <t>A-02-02-02-008-001-02</t>
  </si>
  <si>
    <t>A-02-02-01-003-006-09
A-02-02-01-003-001
A-02-02-01-003-006-03
A-02-02-01-004-008-02
A-02-02-01-003-008-09
A-02-02-01-003-008-05</t>
  </si>
  <si>
    <t>A-02-01-01-004-004-09</t>
  </si>
  <si>
    <t>A-02-02-01-003-002-01</t>
  </si>
  <si>
    <t>A-02-02-01-004-004-09</t>
  </si>
  <si>
    <t>A-02-01-01-004-007-02</t>
  </si>
  <si>
    <t>A-02-01-01-006-002-03-1-01</t>
  </si>
  <si>
    <t>A-02-02-02-008-004-03</t>
  </si>
  <si>
    <t>A-02-02-02-008-003-09
A-02-02-02-008-003-03</t>
  </si>
  <si>
    <t>A-02-02-02-008-003-02</t>
  </si>
  <si>
    <t>A-05-01-02-005-004-01-2</t>
  </si>
  <si>
    <t>A-02-02-02-008-003-01-5</t>
  </si>
  <si>
    <t>02-02-01-003-05-01
A-02-02-01-003-002-01
A-02-01-01-004-003-09</t>
  </si>
  <si>
    <t>A-02 02 02</t>
  </si>
  <si>
    <t>025-2019</t>
  </si>
  <si>
    <t>6619</t>
  </si>
  <si>
    <t>3919</t>
  </si>
  <si>
    <t>VILLAMIZAR NAVARRO LUIS CARLOS</t>
  </si>
  <si>
    <t>024-2019</t>
  </si>
  <si>
    <t>JAIMES GOMEZ WILLIAM ALEXANDER</t>
  </si>
  <si>
    <t>021-2019</t>
  </si>
  <si>
    <t>ESPITIA POVEDA JULY CATHERINE</t>
  </si>
  <si>
    <t>A-02-02-02-007</t>
  </si>
  <si>
    <t xml:space="preserve">Sentencias 
</t>
  </si>
  <si>
    <t xml:space="preserve">Impuesto predial </t>
  </si>
  <si>
    <t xml:space="preserve">TASAS Y DERECHOS ADMINISTRATIVOS </t>
  </si>
  <si>
    <t xml:space="preserve">Cuota de fiscalización y Auditaje </t>
  </si>
  <si>
    <t>03 10 01 001</t>
  </si>
  <si>
    <t>08 01 02 001</t>
  </si>
  <si>
    <t>08 03</t>
  </si>
  <si>
    <t>08 04 01</t>
  </si>
  <si>
    <t xml:space="preserve">Sentencias </t>
  </si>
  <si>
    <t>TR04</t>
  </si>
  <si>
    <t>80141607</t>
  </si>
  <si>
    <t>80101505</t>
  </si>
  <si>
    <t>42211700; 42211702; 44101800; 44101802; 44101803</t>
  </si>
  <si>
    <t>73152101;73152102; 73152103 ; 81101707</t>
  </si>
  <si>
    <t>76121501;  80101708</t>
  </si>
  <si>
    <t>TR01</t>
  </si>
  <si>
    <t xml:space="preserve">Valor Utilizado CDP PROPIOS
20 </t>
  </si>
  <si>
    <t>Valor Utilizado CDP PROPIOS
21</t>
  </si>
  <si>
    <t>Valor Utilizado RP PROPIOS 20</t>
  </si>
  <si>
    <t>Valor Utilizado RP PROPIOS 21</t>
  </si>
  <si>
    <t>CAJA MENOR</t>
  </si>
  <si>
    <t>GUSTAVO MUÑOZ</t>
  </si>
  <si>
    <t>PATRIMONIOS AUTONOMOS CREDICORP FIDUCIARIA S.A
EMPRESA DE ACUEDUCTO Y ALCANTARILLADO DE BOGOTA ESP</t>
  </si>
  <si>
    <t>N/A</t>
  </si>
  <si>
    <t>6319-9519</t>
  </si>
  <si>
    <t>11/02/2019-2019-02-25</t>
  </si>
  <si>
    <t>023-2019
029-2019</t>
  </si>
  <si>
    <t>VILLATE LEON PABLO ERNESTO
DAVID BELLO</t>
  </si>
  <si>
    <t>BOGOTA DISTRITO CAPITAL</t>
  </si>
  <si>
    <t xml:space="preserve">Fecha estimada de inicio de proceso de selección - Estudio previo 
(dd/mm/aa)
</t>
  </si>
  <si>
    <t>Convenio de asociación para la realización del encuentro nacional de organizaciones con el apoyo logístico de la Federación Colombiana de Organizaciones de Personas con Discapacidad Visual –FECODIV</t>
  </si>
  <si>
    <t xml:space="preserve">Nación 10
Crear </t>
  </si>
  <si>
    <t>Propios 20
Crear</t>
  </si>
  <si>
    <t>Propios 21
Crear</t>
  </si>
  <si>
    <t>Nación 10
Aumentar</t>
  </si>
  <si>
    <t>Propios 20
Aumentar</t>
  </si>
  <si>
    <t>Propios 21
Aumentar</t>
  </si>
  <si>
    <t>Nación 10 
Reducir</t>
  </si>
  <si>
    <t>Propios 20
Reducir</t>
  </si>
  <si>
    <t xml:space="preserve">Propios 21
Reducir </t>
  </si>
  <si>
    <t>Valor real del contrato a la fecha
Propios 20</t>
  </si>
  <si>
    <t xml:space="preserve">Valor real del contrato a la fecha
Propios 21 </t>
  </si>
  <si>
    <t>Valor real total del contrato</t>
  </si>
  <si>
    <t>Servicios de mantenimiento de ascensores</t>
  </si>
  <si>
    <t>Servicio de mantenimiento o reparación de equipos y sistemas de protección contra incendios (extintores)</t>
  </si>
  <si>
    <t>Servicio de inspección de equipos (Certificación ascensores)</t>
  </si>
  <si>
    <t>Minima cuantía</t>
  </si>
  <si>
    <t>Contrato de prestación de servicios profesionales para educación 3</t>
  </si>
  <si>
    <t>Contratación directa con ofertas</t>
  </si>
  <si>
    <t xml:space="preserve">Servicio de instalación o mantenimiento o reparación de aires acondicionados </t>
  </si>
  <si>
    <t xml:space="preserve">Servicio de mantenimiento de edificios </t>
  </si>
  <si>
    <t>A-02-02-02-008</t>
  </si>
  <si>
    <t>TR05</t>
  </si>
  <si>
    <t>TR06</t>
  </si>
  <si>
    <t>TRANSPORTE</t>
  </si>
  <si>
    <t>6819</t>
  </si>
  <si>
    <t>Marzo
Se aplaza para mayo</t>
  </si>
  <si>
    <t>10
Se disminuye a 7</t>
  </si>
  <si>
    <t>Marzo
Se aplaza para abril</t>
  </si>
  <si>
    <t>10
Se disminuye a 8</t>
  </si>
  <si>
    <t>Abril
Se aplaza para junio</t>
  </si>
  <si>
    <t>Marzo 
Modificar para agosto</t>
  </si>
  <si>
    <t>10
Modificar a 5</t>
  </si>
  <si>
    <t>Contrato de prestación de servicios de apoyo para producción, animación e ilustración en el centro audiovisual (Por definir)</t>
  </si>
  <si>
    <t>Marzo
Modificar para mayo</t>
  </si>
  <si>
    <t>Febrero
Modificar a junio</t>
  </si>
  <si>
    <t>1
Modificar a 6</t>
  </si>
  <si>
    <t>Marzo
Modificar a abril</t>
  </si>
  <si>
    <t>10
Modificar a 8</t>
  </si>
  <si>
    <t>Marzo
Modificar a mayo</t>
  </si>
  <si>
    <t>1
Modificar a 7</t>
  </si>
  <si>
    <t>Marzo
Modificar para abril</t>
  </si>
  <si>
    <t>Abril
Modificar para mayo</t>
  </si>
  <si>
    <t>Abril
Modificar para julio</t>
  </si>
  <si>
    <t>10
Modificar a 7</t>
  </si>
  <si>
    <t>Junio
Modificar para abril</t>
  </si>
  <si>
    <t>36504-033-2019</t>
  </si>
  <si>
    <t>AUTOGAS</t>
  </si>
  <si>
    <t>A-02-02-01-002</t>
  </si>
  <si>
    <t>035-2019</t>
  </si>
  <si>
    <t>036-2019</t>
  </si>
  <si>
    <t>GUEVARA CORREAL SARAI</t>
  </si>
  <si>
    <t>PALACIOS GUTIERREZ YEIMI CAROLINA</t>
  </si>
  <si>
    <t>SERVICIOS POSTALES NACIONALES S.A</t>
  </si>
  <si>
    <t>030-2019</t>
  </si>
  <si>
    <t xml:space="preserve">2019-03-22 </t>
  </si>
  <si>
    <t>034-2019</t>
  </si>
  <si>
    <t>FEDERACION COLOMBIANA DE ORGANIZACIONES DE PERSONAS CON DISCAPACIDAD VISUAL</t>
  </si>
  <si>
    <t>032-2019</t>
  </si>
  <si>
    <t>IFX NETWORKS COLOMBIA S A S</t>
  </si>
  <si>
    <t xml:space="preserve">A-02-02-02-006 09 02 </t>
  </si>
  <si>
    <t xml:space="preserve">A-02-02-02-006 09 01 </t>
  </si>
  <si>
    <t>VIATICOS</t>
  </si>
  <si>
    <t>038-2019</t>
  </si>
  <si>
    <t>VILLAMIZAR NELSON JULIAN</t>
  </si>
  <si>
    <t>039-2019</t>
  </si>
  <si>
    <t>037-2019</t>
  </si>
  <si>
    <t>INGYEMEL PROFESIONALES J&amp;H S.A.S.</t>
  </si>
  <si>
    <t>419-14819</t>
  </si>
  <si>
    <t xml:space="preserve">18/01/2019-2019-04-11 </t>
  </si>
  <si>
    <t>048-2018-04019</t>
  </si>
  <si>
    <t>COOPERATIVA DE VIGILANCIA Y SERVICIOS DE BUCARAMANGA C.T.A.
ULTRASEGURA LTDA</t>
  </si>
  <si>
    <t>9019</t>
  </si>
  <si>
    <t>Otros servicios auxiliares</t>
  </si>
  <si>
    <t>Circular No 3. Se reducen de recursos Nación $3.973.090 del concepto “Servicio de mantenimiento de edificios” el cual queda con  un saldo $1.975.555 y se aumenta a Servicios de limpieza el cual queda con un saldo de $40.904.671</t>
  </si>
  <si>
    <t>Circular No 3:  Se reducen de recursos Nación $345.611 del concepto “Azúcar” el cual queda con un saldo de $554.389 y se aumentan al concepto “Productos el café”, el cual queda con un saldo de $3.145.611
5. Según la Resolución No 20191120000883 del 24 de abril de 2019, se reducen de recursos Nación del concepto “Servicio de mantenimiento de edificios” $739.937 el cual queda con un saldo de $0 y se aumentan al concepto “Productos del café”, el cual queda con un saldo de $3.885.548</t>
  </si>
  <si>
    <t xml:space="preserve">56141602
52152000
</t>
  </si>
  <si>
    <t>Prestar servicios tecnólogos y de apoyo a la gestión para producción de contenidos web y radiales de INCI Radio para el cubrimiento regional de actividades deportivas</t>
  </si>
  <si>
    <t xml:space="preserve">Adquisición Licenciamiento Suite Adobe </t>
  </si>
  <si>
    <t>Circular No 3: Se reducen de recursos nación $ 10.852.559 del concepto “Servicio Internet - Canal principal” el cual queda con un saldo de $6.147.441 y se aumentan por recursos nación al concepto “Contratar el servicio de hosting para el alojamiento de la página web y aplicaciones del Instituto Nacional Para Ciegos - INCI, acorde con el anexo técnico, los estudios previos y el pliego de condiciones”, el cual queda con un saldo en recursos nación de $40.852.559 y en propios de $17.000.000 para un total de $ 57.852.559</t>
  </si>
  <si>
    <t>Circular No 3: Se reduce por recursos propios 20 $ 9.372.080 del concepto ”Viáticos”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 por recursos propios 20 $9.372.080 al concepto “Viáticos” de la meta “Asesorar a las instancias competentes para promover la empleabilidad de las personas con discapacidad visual” grupo de gestión interinstitucional  el cual queda con un saldo de $15.710.545</t>
  </si>
  <si>
    <t>Circular No 3: Se reduce por recursos propios 20 del concepto “Tiquetes terrestres” $840.000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aumentan $840.000 por recursos propios 20 al concepto “Tiquetes terrestres” de la meta “Asesorar a las instancias competentes para promover la empleabilidad de las personas con discapacidad visual” grupo de gestión interinstitucional  el cual queda con un saldo de $1.400.000</t>
  </si>
  <si>
    <t>Circular No 3: Se reduce por recursos propios 20 $9.600.000 del concepto “Tiquetes aéreos”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 al concepto “Tiquetes aéreos” de la meta “Brindar asistencia técnica en educación a las entidades territoriales certificadas para  el mejoramiento de los procesos de atención de las personas con discapacidad visual” ; grupo educación $9.600.000 el cual queda con un saldo de $27.600.000</t>
  </si>
  <si>
    <t>1419-9519</t>
  </si>
  <si>
    <t>Contratar el servicio de corte láser de material suministrado por la Imprenta Nacional para Ciegos</t>
  </si>
  <si>
    <t>Contratación prestación de servicios de apoyo a la gestión para realizar revisión y control de calidad a los textos escritos en braille</t>
  </si>
  <si>
    <t>HELP SOLUCIONES INFORMATICAS HSI S.A.S</t>
  </si>
  <si>
    <t>046-2019</t>
  </si>
  <si>
    <t>1619-9419</t>
  </si>
  <si>
    <t>919+18219</t>
  </si>
  <si>
    <t>919-18219</t>
  </si>
  <si>
    <t>18/01/2019-2019-04-30</t>
  </si>
  <si>
    <t>37507//045-2019</t>
  </si>
  <si>
    <t>043-2018-37507//045-2019</t>
  </si>
  <si>
    <t>GOMEZ GRAJALES ALVARO ANDRES</t>
  </si>
  <si>
    <t>ELLIPTICAL SAS</t>
  </si>
  <si>
    <t>042-2019</t>
  </si>
  <si>
    <t>719-18119</t>
  </si>
  <si>
    <t>18/01/2019-2019-04-26</t>
  </si>
  <si>
    <t>XIMIL TECHNOLOGIES SAS-IFX NETWORKS COLOMBIA S A S</t>
  </si>
  <si>
    <t>061-2018-37474//044-2019</t>
  </si>
  <si>
    <t>043-2019</t>
  </si>
  <si>
    <t>Circular No 4: Se reduce de recursos propios 20 $ 1.000.000 del concepto “Evento para fortalecer las condiciones de actores públicos y privados para la inclusión de las personas con discapacidad visual (Guía y proyecto de ley)”, el cual queda con un saldo de $ 10.168.328 y se aumenta al concepto tiquetes terrestres del grupo de gestión interinstitucional $1.000.000 el cual queda con un saldo de $ 1.350.000</t>
  </si>
  <si>
    <t xml:space="preserve">Circular No 4:  Con el propósito de aumentar por recursos propios 20 $26.351. 328 al concepto “Contratacion de prestación de servicios para la adecuación infraestructura física”, el cual queda con un saldo de $37.492.424 se reduce de los siguientes conceptos: 
a)  Adquisición de equipos de seguridad y vigilancia: $7.000.000, de recursos propios 20, el cual queda con un saldo de $0 
b) Adquisición de equipos de cómputo y almacenamiento para renovación de la plataforma del INCI: $11.228.828, de recursos propios 20, el cual queda con un saldo de $0
c) Adquisición de Licencias Firewall: $8.122.400 , de recursos propios 20, el cual queda con un saldo de $0
</t>
  </si>
  <si>
    <t>Circular No 4:  Con el propósito de aumentar por recursos propios 20 $26.351. 328 al concepto “Contratacion de prestación de servicios para la adecuación infraestructura física”, el cual queda con un saldo de $37.492.424 se reduce de los siguientes conceptos: 
a)  Adquisición de equipos de seguridad y vigilancia: $7.000.000, de recursos propios 20, el cual queda con un saldo de $0 
b) Adquisición de equipos de cómputo y almacenamiento para renovación de la plataforma del INCI: $11.228.828, de recursos propios 20, el cual queda con un saldo de $0
c) Adquisición de Licencias Firewall: $8.122.400 , de recursos propios 20, el cual queda con un saldo de $0</t>
  </si>
  <si>
    <t>Circular No 3: Se modifica el nombre del concepto “Renovación y Adquisición Licenciamiento (Suite Adobe - Duxbury (software de braille)” por el siguiente: Adquisición Licenciamiento Suite Adobe. Así mismo, se le adicionan de recursos propios 20 $3.500.000 por lo cual queda con un saldo de $18.500.000, los cuales se reducen del concepto “Adquisición de licencias de firewall”, el cual queda con un saldo de $6.271.712 
Circular No 4:  Con el propósito de aumentar por recursos propios 20 $26.351. 328 al concepto “Contratacion de prestación de servicios para la adecuación infraestructura física”, el cual queda con un saldo de $37.492.424 se reduce de los siguientes conceptos: 
a)  Adquisición de equipos de seguridad y vigilancia: $7.000.000, de recursos propios 20, el cual queda con un saldo de $0 
b) Adquisición de equipos de cómputo y almacenamiento para renovación de la plataforma del INCI: $11.228.828, de recursos propios 20, el cual queda con un saldo de $0
c) Adquisición de Licencias Firewall: $8.122.400 , de recursos propios 20, el cual queda con un saldo de $0</t>
  </si>
  <si>
    <t>Circular No 4: Se reduce de recursos Nación $1.700.000 del concepto “Contratacion de prestación de servicios para la adecuación infraestructura física”, el cual queda con un saldo de $70.108.357 y se aumenta $1.700.000 de recursos Nación al concepto “Prestar servicios apoyo a la elaboración de estudios previos y  supervisión de la obra”, el cual queda con un saldo de $13.700.000</t>
  </si>
  <si>
    <t>048-2019</t>
  </si>
  <si>
    <t>TDD TALLER DE DISEÑO SAS</t>
  </si>
  <si>
    <t>LADY JAEL MARTINEZ CORREDOR
CASTELLANOS BOHORQUEZ MAYRA ALEJANDRA</t>
  </si>
  <si>
    <t>047-2019</t>
  </si>
  <si>
    <t>050-2019</t>
  </si>
  <si>
    <t>INFOTECH DE COLOMBIA S.A.S</t>
  </si>
  <si>
    <t>SOFTWARE IT SAS</t>
  </si>
  <si>
    <t>049-2019</t>
  </si>
  <si>
    <t>Abril
Modificar para Junio</t>
  </si>
  <si>
    <t xml:space="preserve">Abril
Modificar para junio </t>
  </si>
  <si>
    <t>9
Modificar a 7</t>
  </si>
  <si>
    <t>Circular No 5:  Se reducen de recursos propios 20 $ 7.000.000 del concepto “Adquisición de impresoras multifuncionales” y se crea el concepto por recursos propios 20 el concepto “Adquisición de Antivirus”; el cual tiene por recursos Nación $8.000.000 por lo cual queda con un saldo de $15.000.000</t>
  </si>
  <si>
    <t>Circular No 2: Se reduce por recursos Nación $ 11.448.645 del concepto “Servicios de mantenimiento y reparación de otra maquinaria y otro equipo”, el cual queda con un saldo de $5.644.000  para crear los siguientes conceptos: 
a) Servicio de mantenimiento de edificios por $ 5.948.645
b) Servicio de instalación o mantenimiento o reparación de aires acondicionados por $ 5.500.000
Circular No 5: De acuerdo con la Resolución No 20191120001283 del 5 de junio de 2019, se hacen las siguientes modificaciones: 
1. Se reducen $5.000.000 del concepto “Servicios de mantenimiento y reparación de otra maquinaria y otro equipo” el cual queda con un saldo de $644.000  y se crea por recursos Nación el concepto “Contratacion de prestación de servicios para la adecuación infraestructura física”, el cual queda con un saldo de $5.000.000. Dado que cuenta con $31.519.860 por recursos propios en total el saldo es de $ 36.519.860
2. Se reducen de recursos Nación $644.000 del concepto “Servicios de mantenimiento y reparación de otra maquinaria y otro equipo”, el cual queda con un saldo de $0 y se aumentan al concepto Impuesto predial el cual queda con un saldo de $19.644.000</t>
  </si>
  <si>
    <t xml:space="preserve">Circular No 5: 2. Se reducen de recursos Nación $644.000 del concepto “Servicios de mantenimiento y reparación de otra maquinaria y otro equipo”, el cual queda con un saldo de $0 y se aumentan al concepto Impuesto predial el cual queda con un saldo de $19.644.000
3. Se reducen de recursos Nación $ 444.000 del concepto “Pasta de papel, papel y cartón” el cual queda con un saldo de $976.000 y se aumentan al concepto “Impuesto predial” el cual queda con un saldo de $20.088.000 
</t>
  </si>
  <si>
    <t>Julio</t>
  </si>
  <si>
    <t>Contrato de servicios de mantenimiento y reparación de infraestructura</t>
  </si>
  <si>
    <t>EXTRACTOS TINTÓREOS Y CURTIENTES; TANINOS Y SUS DERIVADOS; SUSTANCIAS COLORANTES N.C.P.</t>
  </si>
  <si>
    <t>02 02 01 003 004 03</t>
  </si>
  <si>
    <t>5519-15619</t>
  </si>
  <si>
    <t>14101501
60121124
14111507
44122003
44111515</t>
  </si>
  <si>
    <t>44103103</t>
  </si>
  <si>
    <t xml:space="preserve">Junio </t>
  </si>
  <si>
    <t>9419-16019</t>
  </si>
  <si>
    <t xml:space="preserve">Julio </t>
  </si>
  <si>
    <t>052-2019</t>
  </si>
  <si>
    <t>INSERTEL GRM S.A.S</t>
  </si>
  <si>
    <t>REDNEET SAS</t>
  </si>
  <si>
    <t>053-2019</t>
  </si>
  <si>
    <t>054-2019</t>
  </si>
  <si>
    <t>ITACA LATIONAMERICA SAS</t>
  </si>
  <si>
    <t>056-2019</t>
  </si>
  <si>
    <t>16419</t>
  </si>
  <si>
    <t>6919</t>
  </si>
  <si>
    <t>2019-02-19</t>
  </si>
  <si>
    <t>026-2019</t>
  </si>
  <si>
    <t>CHVES JARRO CLAUDIA LILIANA</t>
  </si>
  <si>
    <t>7119</t>
  </si>
  <si>
    <t>028-2019</t>
  </si>
  <si>
    <t>CASTILLO GONZALEZ EDGAR CAMILO
NAVARRO ROJAS LUIS FERNANDO</t>
  </si>
  <si>
    <t>7019</t>
  </si>
  <si>
    <t>027-2019</t>
  </si>
  <si>
    <t>GRAJALES SALINAS FREDDY ALEXANDER</t>
  </si>
  <si>
    <t>3819-7719-16719</t>
  </si>
  <si>
    <t>18219-28919</t>
  </si>
  <si>
    <t>PANAMERICANA LIBRERIA Y PAPELERIA SA</t>
  </si>
  <si>
    <t>SERVIASEO S A-PANAMERICANA LIBRERIA Y PAPELERIA SA</t>
  </si>
  <si>
    <t>30/04/2019-2019-07-02 00:00:00</t>
  </si>
  <si>
    <t>057-2019</t>
  </si>
  <si>
    <t>37507//045-2019-057-2019</t>
  </si>
  <si>
    <t>6119-14019-23919</t>
  </si>
  <si>
    <t>7/02/2019-2019-04-02-2019-07-02</t>
  </si>
  <si>
    <t>RESOLUCION
201911200000333-0713-1623</t>
  </si>
  <si>
    <t>060-2019</t>
  </si>
  <si>
    <t xml:space="preserve">AAA ENGYGAS S.A.S ! </t>
  </si>
  <si>
    <t>058-2019</t>
  </si>
  <si>
    <t>ASOCIACION COLOMBIANA DE SORDOCIEGOS SURCOE</t>
  </si>
  <si>
    <t>055-19</t>
  </si>
  <si>
    <t xml:space="preserve">Agosto </t>
  </si>
  <si>
    <t>mes</t>
  </si>
  <si>
    <t xml:space="preserve">Circular No 5: 3. Se reducen de recursos Nación $ 444.000 del concepto “Pasta de papel, papel y cartón” el cual queda con un saldo de $976.000 y se aumentan al concepto “Impuesto predial” el cual queda con un saldo de $20.088.000 
Circular No 6: Se reducen $5.726.885 de recursos propios 20 del concepto “Pasta de papel, papel y cartón”, el cual queda con un saldo de $3.399.749  para distribuir en los siguientes conceptos:
a) Se crea por recursos propios 20 el concepto “Extractos tintóreos y curtientes; taninos y sus derivados; sustancias colorantes n.c.p.” por $4.532.764
b) Se crea por recursos propios 20 el concepto “Otros artículos manufacturados n.c.p.” por $1.194.121
</t>
  </si>
  <si>
    <t xml:space="preserve">Circular No 6: Se reducen $5.726.885 de recursos propios 20 del concepto “Pasta de papel, papel y cartón”, el cual queda con un saldo de $3.399.749  para distribuir en los siguientes conceptos:
a) Se crea por recursos propios 20 el concepto “Extractos tintóreos y curtientes; taninos y sus derivados; sustancias colorantes n.c.p.” por $4.532.764
b) Se crea por recursos propios 20 el concepto “Otros artículos manufacturados n.c.p.” por $1.194.121
</t>
  </si>
  <si>
    <t xml:space="preserve">Circular No 6: Con el propósito de aumentar $3.021.654 de recursos Nación al concepto “Servicios de investigación y seguridad”, se hacen las siguientes modificaciones: 
a) Se reduce recursos Nación “$1.921.654 del concepto “Servicio de instalación o mantenimiento o reparación de aires acondicionados el cual queda con un saldo de $3.578.346 
b) Se reduce de recursos Nación $1.100.000 del concepto “Caja menor- Mantenimiento” el cual queda con un saldo de $0
</t>
  </si>
  <si>
    <t>Circular No 2: Se reduce por recursos Nación $ 11.448.645 del concepto “Servicios de mantenimiento y reparación de otra maquinaria y otro equipo”, el cual queda con un saldo de $5.644.000  para crear los siguientes conceptos: 
a) Servicio de mantenimiento de edificios por $ 5.948.645
b) Servicio de instalación o mantenimiento o reparación de aires acondicionados por $ 5.500.000
Circular No 3: 1. Se reducen de recursos Nación $3.973.090 del concepto “Servicio de mantenimiento de edificios” el cual queda con  un saldo $1.975.555 y se aumenta a Servicios de limpieza el cual queda con un saldo de $40.904.671
3. Según la Resolución No 20191120000883 del 24 de abril de 2019 se reducen de recursos Nación $ 495.464 del concepto “Servicio de mantenimiento de edificios” el cual queda con un saldo de $1.480.091 y se aumentan al concepto “Jabón, preparados para limpieza, perfumes y preparados de tocador” el cual queda con un saldo de $ 1.495.464
4. Según la Resolución No 20191120000883 del 24 de abril de 2019 se reducen de recursos Nación del concepto “Servicio de mantenimiento de Edificios” $740.154 el cual queda con un saldo de $739.937 y se aumentan al concepto “Otros artículos manufacturados n.c.p.” el cual queda con un saldo de $1.040.154
5. Según la Resolución No 20191120000883 del 24 de abril de 2019, se reducen de recursos Nación del concepto “Servicio de mantenimiento de edificios” $739.937 el cual queda con un saldo de $0 y se aumentan al concepto “Productos del café”, el cual queda con un saldo de $3.885.548</t>
  </si>
  <si>
    <t xml:space="preserve">Circular No 2. Por recursos propios 20, se reducen $15.198.278 del concepto “Mantenimiento y reparación de otra maquinaria y otro equipo” para crear  Servicio de inspección de equipos (Certificación ascensores) por $1.500.000
Circular No 6: Se reducen $ 700.000 de recursos propios 20 del concepto” Servicio de inspección de equipos (Certificación ascensores)” el cual queda con un saldo de $800.000 y se crea por recursos propios 20 el concepto “Servicios de investigación y seguridad” por $700.000 </t>
  </si>
  <si>
    <t xml:space="preserve">Circular No 2: Se reduce por recursos Nación $ 11.448.645 del concepto “Servicios de mantenimiento y reparación de otra maquinaria y otro equipo”, el cual queda con un saldo de $5.644.000  para crear los siguientes conceptos: 
a) Servicio de mantenimiento de edificios por $ 5.948.645
b) Servicio de instalación o mantenimiento o reparación de aires acondicionados por $ 5.500.000
Circular No 6: Con el propósito de aumentar $3.021.654 de recursos Nación al concepto “Servicios de investigación y seguridad”, se hacen las siguientes modificaciones: 
a) Se reduce recursos Nación “$1.921.654 del concepto “Servicio de instalación o mantenimiento o reparación de aires acondicionados el cual queda con un saldo de $3.578.346 
b) Se reduce de recursos Nación $1.100.000 del concepto “Caja menor- Mantenimiento” el cual queda con un saldo de $0
- Se reducen de recursos nación $3.578.346 del concepto Servicio de instalación o mantenimiento o reparación de aires acondicionados el cual queda con un saldo de $0 y se aumentan al concepto “Dotación (prendas de vestir y calzado)”, el cual queda con un saldo de $15.903.995 </t>
  </si>
  <si>
    <t xml:space="preserve">Circular No 6:Con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t>
  </si>
  <si>
    <t xml:space="preserve">Circular No 6: Se reducen $896.127 de recursos propios 20 del concepto “Servicios de mantenimiento y reparación de maquinaria y equipo de transporte” el cual queda con un saldo de $6.641.471 y se aumentan al concepto “Seguros” el cual queda con un saldo de $15.396.127
Circular No 6: 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t>
  </si>
  <si>
    <t xml:space="preserve">Software para administración de la biblioteca </t>
  </si>
  <si>
    <t xml:space="preserve">Circular No 3: Se reducen de recursos Nación $3.000.000 del concepto “Adquisición de máquinas para la modernización de la imprenta”, el cual queda con un saldo de $ 97.328.962 y se crea el concepto por recursos Nación “Contratar el servicio de corte láser de material suministrado por la Imprenta Nacional para Ciegos” por $3.000.000
Circular No 6: Con el propósito de aumentar $ 9.442.255 de recursos Nación al concepto “Adquisición de máquinas para la modernización de la imprenta”, el cual queda con un saldo de $41.771.217 se realizan las siguientes modificaciones: 
a) Se reducen de recursos Nación $3.000.000 del concepto” Contratar el servicio de corte láser de material suministrado por la Imprenta Nacional para Ciegos”, el cual queda con un saldo de $0
b) Se reducen de recursos Nación $546.440 del concepto “Contratación de servicios de apoyo a la gestión para la imprenta Nacional para Ciegos 1”, el cual queda con un saldo de $27.680.000
c) Se reducen de recursos Nación $546.440 del concepto “Contratación de servicios de apoyo a la gestión para la imprenta Nacional para Ciegos 2”, el cual queda con un saldo de $27.680.000
d) Se reducen de recursos Nación $1.425.556 del concepto “Contratación de prestación de servicios profesionales de diseño y corrección de estilo para la imprenta nacional para ciegos 1”, el cual queda con un saldo de $ 36.187.250
e) Se reducen de recursos Nación $1.100.000 del concepto “Caja menor - Materiales y suministro” el cual queda con un saldo de $0 
f) Se reducen de recursos Nación “Caja menor – Mantenimiento” $1.650.000 el cual queda con un saldo de $0
g) Se reducen de recursos Nación “Caja menor - Comunicaciones y transporte” $1.173.820 el cual queda con un saldo de $476.180
</t>
  </si>
  <si>
    <t xml:space="preserve">Circular No 6: Con el propósito de aumentar $ 9.442.255 de recursos Nación al concepto “Adquisición de máquinas para la modernización de la imprenta”, el cual queda con un saldo de $41.771.217 se realizan las siguientes modificaciones:
a) Se reducen de recursos Nación $3.000.000 del concepto” Contratar el servicio de corte láser de material suministrado por la Imprenta Nacional para Ciegos”, el cual queda con un saldo de $0
b) Se reducen de recursos Nación $546.440 del concepto “Contratación de servicios de apoyo a la gestión para la imprenta Nacional para Ciegos 1”, el cual queda con un saldo de $27.680.000
c) Se reducen de recursos Nación $546.440 del concepto “Contratación de servicios de apoyo a la gestión para la imprenta Nacional para Ciegos 2”, el cual queda con un saldo de $27.680.000
d) Se reducen de recursos Nación $1.425.556 del concepto “Contratación de prestación de servicios profesionales de diseño y corrección de estilo para la imprenta nacional para ciegos 1”, el cual queda con un saldo de $ 36.187.250
e) Se reducen de recursos Nación $1.100.000 del concepto “Caja menor - Materiales y suministro” el cual queda con un saldo de $0 
f) Se reducen de recursos Nación “Caja menor – Mantenimiento” $1.650.000 el cual queda con un saldo de $0
g) Se reducen de recursos Nación “Caja menor - Comunicaciones y transporte” $1.173.820 el cual queda con un saldo de $476.180
</t>
  </si>
  <si>
    <t>Circular No 3: Se reduce de recursos Propios 20 $12.427.783 del concepto “Contratación de prestación de servicios profesionales de diseño y corrección de estilo para la imprenta nacional para ciegos 2”, el cual queda con un saldo de $12.572.217 y se crea por recursos propios 20 por $ 12.427.783, el concepto “Contratación prestación de servicios de apoyo a la gestión para realizar revisión y control de calidad a los textos escritos en braille”. 
Circular No 6: Se reducen $ 12.427.783 de recursos Propios 20 del concepto “Contratación prestación de servicios de apoyo a la gestión para realizar revisión y control de calidad a los textos escritos en braille” el cual queda con un saldo de $0 y se crea por recursos propios 20 el concepto “Adquisición de máquinas para la modernización de la imprenta” el cual queda con un saldo de $12.427.783</t>
  </si>
  <si>
    <t>Circular No 6: Con el propósito de aumentar $ 9.442.255 de recursos Nación al concepto “Adquisición de máquinas para la modernización de la imprenta”, el cual queda con un saldo de $41.771.217 se realizan las siguientes modificaciones:
a) Se reducen de recursos Nación $3.000.000 del concepto” Contratar el servicio de corte láser de material suministrado por la Imprenta Nacional para Ciegos”, el cual queda con un saldo de $0
b) Se reducen de recursos Nación $546.440 del concepto “Contratación de servicios de apoyo a la gestión para la imprenta Nacional para Ciegos 1”, el cual queda con un saldo de $27.680.000
c) Se reducen de recursos Nación $546.440 del concepto “Contratación de servicios de apoyo a la gestión para la imprenta Nacional para Ciegos 2”, el cual queda con un saldo de $27.680.000
d) Se reducen de recursos Nación $1.425.556 del concepto “Contratación de prestación de servicios profesionales de diseño y corrección de estilo para la imprenta nacional para ciegos 1”, el cual queda con un saldo de $ 36.187.250
e) Se reducen de recursos Nación $1.100.000 del concepto “Caja menor - Materiales y suministro” el cual queda con un saldo de $0 
f) Se reducen de recursos Nación “Caja menor – Mantenimiento” $1.650.000 el cual queda con un saldo de $0
g) Se reducen de recursos Nación “Caja menor - Comunicaciones y transporte” $1.173.820 el cual queda con un saldo de $476.180
-Se reducen de recursos Nación $476.180 del concepto Caja menor - Comunicaciones y transporte el cual queda con un saldo de $ 0 y se aumentan al concepto “Contratación de mantenimiento de máquinas y equipos de la imprenta Nacional para Ciegos”, el cual queda con un saldo de $197.475.460</t>
  </si>
  <si>
    <t xml:space="preserve">Circular No 6: Con el propósito de aumentar $ 15.000.000 por recursos propios 20 al concepto “Viáticos” (Educación) se realizan las siguientes modificaciones: 
a) Se reducen $1.550.000 del concepto “Contratación por prestación de apoyo a la gestión institucional en las localidades de Bogotá” el cual queda con un saldo de $13.950.000 
b) Se reducen $3.965.539 del concepto “Contrato de prestación de servicios profesionales para educación 2” el cual queda con un saldo de $27.034.461
c) Se reducen $3.965.539 del concepto “Contrato de prestación de servicios profesionales para educación 3” el cual queda con un saldo de $27.034.461
d) Se reducen $5.518.922 del concepto “Evento para fortalecer las condiciones de actores públicos y privados para la inclusión de las personas con discapacidad visual (Educación)”, el cual queda con un saldo de $1.681.078
</t>
  </si>
  <si>
    <t xml:space="preserve">Circular No 2: Se reducen por recursos propios 20 $ 2.000.000 del “Contrato de prestación de servicios profesionales para educación 1”, el  cual queda con un saldo de $31.000.000  y se reduce del “Contrato de prestación de servicios profesionales para educación 2” de recursos propios 20, el cual queda con un saldo de $31.000.000; y se aumentan $4.000.000 por recursos propios 20 al concepto Refrigerios el cual queda con un saldo de $10.000.000
Circular No 6: Con el propósito de aumentar $ 15.000.000 por recursos propios 20 al concepto “Viáticos” (Educación) se realizan las siguientes modificaciones: 
a) Se reducen $1.550.000 del concepto “Contratación por prestación de apoyo a la gestión institucional en las localidades de Bogotá” el cual queda con un saldo de $13.950.000 
b) Se reducen $3.965.539 del concepto “Contrato de prestación de servicios profesionales para educación 2” el cual queda con un saldo de $27.034.461
c) Se reducen $3.965.539 del concepto “Contrato de prestación de servicios profesionales para educación 3” el cual queda con un saldo de $27.034.461
d) Se reducen $5.518.922 del concepto “Evento para fortalecer las condiciones de actores públicos y privados para la inclusión de las personas con discapacidad visual (Educación)”, el cual queda con un saldo de $1.681.078
</t>
  </si>
  <si>
    <t>Circular No 6: Con el propósito de aumentar $ 15.000.000 por recursos propios 20 al concepto “Viáticos” (Educación) se realizan las siguientes modificaciones: 
a) Se reducen $1.550.000 del concepto “Contratación por prestación de apoyo a la gestión institucional en las localidades de Bogotá” el cual queda con un saldo de $13.950.000 
b) Se reducen $3.965.539 del concepto “Contrato de prestación de servicios profesionales para educación 2” el cual queda con un saldo de $27.034.461
c) Se reducen $3.965.539 del concepto “Contrato de prestación de servicios profesionales para educación 3” el cual queda con un saldo de $27.034.461
d) Se reducen $5.518.922 del concepto “Evento para fortalecer las condiciones de actores públicos y privados para la inclusión de las personas con discapacidad visual (Educación)”, el cual queda con un saldo de $1.681.078
2. Se reducen $1.681.078 de recursos propios 20 del concepto “Evento para fortalecer las condiciones de actores públicos y privados para la inclusión de las personas con discapacidad visual (Educación)”, el cual queda con un saldo de $0 y se aumentan al concepto “Tiquetes terrestres” el cual queda con un saldo de $6.161.078</t>
  </si>
  <si>
    <t xml:space="preserve">Circular No 6: Se reducen $3.900.000 de recursos propios 20 del concepto “Contrato de prestación de servicios de un Ingeniero de sistema con experiencia en accesibilidad” el cual queda con un saldo de $ 31.300.000 y se aumentan  por recursos propios 20 al concepto refrigerios el cual queda con un saldo de $13.900.000 </t>
  </si>
  <si>
    <t xml:space="preserve">Circular No 2: Se reducen por recursos propios 20 $ 2.000.000 del “Contrato de prestación de servicios profesionales para educación 1”, el  cual queda con un saldo de $31.000.000  y se reduce del “Contrato de prestación de servicios profesionales para educación 2” de recursos propios 20, el cual queda con un saldo de $31.000.000; y se aumentan $4.000.000 por recursos propios 20 al concepto Refrigerios el cual queda con un saldo de $10.000.000
Circular 6: Se reducen $3.900.000 de recursos propios 20 del concepto “Contrato de prestación de servicios de un Ingeniero de sistema con experiencia en accesibilidad” el cual queda con un saldo de $ 31.300.000 y se aumentan  por recursos propios 20 al concepto refrigerios el cual queda con un saldo de $13.900.000 </t>
  </si>
  <si>
    <t>Circular No 6: Se reducen de recursos Nación $ 800.000 del concepto “Establecer alianzas con entidades académicas y otras instituciones para el desarrollo de los ejercicios de investigación ” el cual queda con un saldo de $14.200.000 y se crea por recursos Nación el concepto “Tiquetes aéreos”; el cual queda con un saldo de recursos nación de $800.000. Dado que tiene por recursos Propios 20, $4.000.000 queda con un saldo total de $4.800.000
- Se reducen $800.000 de recursos propios 20 del concepto “Tiquetes aéreos” el cual queda con un saldo en Propios 20 de $3.200.000 y se aumentan $800.000 por recursos propios 20 al concepto “Viáticos” el cual queda con un saldo de $ 4.444.256</t>
  </si>
  <si>
    <t xml:space="preserve">Circular No 2: Se reducen $1.900.000 del concepto “Evento para fortalecer las condiciones de actores públicos y privados para la inclusión de las personas con discapacidad visual (Guía y proyecto de ley)” el cual queda con un saldo de $ 11.168.328 y se modifica el nombre del concepto “Evento para fortalecer las condiciones de actores públicos y privados para la inclusión de las personas con discapacidad visual (participación)” por “Convenio de asociación para la realización del encuentro nacional de organizaciones con el apoyo logístico de la Federación Colombiana de Organizaciones de Personas con Discapacidad Visual –FECODIV, al cual se le adiciona $1.900.000 y queda con un saldo de $10.500.000
Circular No 6: Se reducen $8.600.000 de recursos propios 20 del concepto “Evento para fortalecer las condiciones de actores públicos y privados para la inclusión de las personas con discapacidad visual (Guía y proyecto de ley)” y se crea el concepto “Convenio de asociación para la realización del encuentro nacional de Organizaciones con el apoyo logístico de la Federación Colombiana de Organizaciones de Personas con Discapacidad Visual –FECODIV” por $8.600.000
</t>
  </si>
  <si>
    <t xml:space="preserve">Circular No 2: Se reducen $1.900.000 del concepto “Evento para fortalecer las condiciones de actores públicos y privados para la inclusión de las personas con discapacidad visual (Guía y proyecto de ley)” el cual queda con un saldo de $ 11.168.328 y se modifica el nombre del concepto “Evento para fortalecer las condiciones de actores públicos y privados para la inclusión de las personas con discapacidad visual (participación)” por “Convenio de asociación para la realización del encuentro nacional de organizaciones con el apoyo logístico de la Federación Colombiana de Organizaciones de Personas con Discapacidad Visual –FECODIV, al cual se le adiciona $1.900.000 y queda con un saldo de $10.500.000
Circular No 4: Se reduce de recursos propios 20 $ 1.000.000 del concepto “Evento para fortalecer las condiciones de actores públicos y privados para la inclusión de las personas con discapacidad visual (Guía y proyecto de ley)”, el cual queda con un saldo de $ 10.168.328 y se aumenta al concepto tiquetes terrestres del grupo de gestión interinstitucional $1.000.000 el cual queda con un saldo de $ 1.350.000
Circular 6: Se reducen $8.600.000 de recursos propios 20 del concepto “Evento para fortalecer las condiciones de actores públicos y privados para la inclusión de las personas con discapacidad visual (Guía y proyecto de ley)” y se crea el concepto “Convenio de asociación para la realización del encuentro nacional de Organizaciones con el apoyo logístico de la Federación Colombiana de Organizaciones de Personas con Discapacidad Visual –FECODIV” por $8.600.000
-Se reduce $1.568.328 de recursos propios 20 de concepto “Evento para fortalecer las condiciones de actores públicos y privados para la inclusión de las personas con discapacidad visual (Guía y proyecto de ley)” y se aumentan al concepto viáticos el cual queda con un saldo de $6.012.584
</t>
  </si>
  <si>
    <t>Circular No 6: Se reducen $800.000 de recursos propios 20 del concepto “Tiquetes aéreos” el cual queda con un saldo en Propios 20 de $3.200.000 y se aumentan $800.000 por recursos propios 20 al concepto “Viáticos” el cual queda con un saldo de $ 4.444.256
-Se reduce $1.568.328 de recursos propios 20 de concepto “Evento para fortalecer las condiciones de actores públicos y privados para la inclusión de las personas con discapacidad visual (Guía y proyecto de ley)” y se aumentan al concepto viáticos el cual queda con un saldo de $6.012.584</t>
  </si>
  <si>
    <t xml:space="preserve">Token </t>
  </si>
  <si>
    <t>80121604</t>
  </si>
  <si>
    <t xml:space="preserve">Circular No 6: Con el propósito de crear el concepto por recursos propios 20 “Contratación de prestación de servicios para el diseño, producción y montaje de tres exposiciones temporales para conmemorar el bicentenario” por $28.859.336, se reduce por recursos propios 20 de los siguientes conceptos: 
a) Contratación elaboración de las colecciones de la sensoroteca $20.000.000 el cual queda con un saldo de $0
b) Contratación de suministro de elementos para el diseño y montaje de las exposiciones temporales $  8.859.336 el cual queda con un saldo de $0
</t>
  </si>
  <si>
    <t>Circular No 6: Con el propósito de crear el concepto por recursos propios 20 “Contratación de prestación de servicios para el diseño, producción y montaje de tres exposiciones temporales para conmemorar el bicentenario” por $28.859.336, se reduce por recursos propios 20 de los siguientes conceptos: 
a) Contratación elaboración de las colecciones de la sensoroteca $20.000.000 el cual queda con un saldo de $0
b) Contratación de suministro de elementos para el diseño y montaje de las exposiciones temporales $  8.859.336 el cual queda con un saldo de $0</t>
  </si>
  <si>
    <t>Cicular No 6: 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 Se reduce $1.500.000 de recursos propios 20 del concepto  “Servicios de telefonía y otras telecomunicaciones” el cual queda con un saldo de $17.052.386 y se aumentan al concepto “Contratación de servicios para el apoyo del área Financiera” el cual queda con un saldo de $18.962.597</t>
  </si>
  <si>
    <t>8519-10419-11219-13219-15219-15319-18519-19319</t>
  </si>
  <si>
    <t>Contratación de prestación de servicios para actividades de producción de libros especializados en formato EPUB (1)</t>
  </si>
  <si>
    <t>Contratación de prestación de servicios para actividades de producción de libros especializados en formato EPUB (2)</t>
  </si>
  <si>
    <t>Contratación de prestación de servicios para actividades de producción de libros especializados en formato EPUB (3)</t>
  </si>
  <si>
    <t>Contratación de prestación de servicios para actividades de producción de libros especializados en formato EPUB (4)</t>
  </si>
  <si>
    <t>Contratación de prestación de servicios para actividades de producción de libros especializados en formato EPUB (5)</t>
  </si>
  <si>
    <t>Contratación de prestación de servicios para actividades de producción de libros especializados en formato EPUB (6)</t>
  </si>
  <si>
    <t>Contratación de prestación de servicios para espacio de capacitación elaboración documentos accesibles formato  EPUB  a servidores públicos del INCI</t>
  </si>
  <si>
    <t>Tiempo</t>
  </si>
  <si>
    <t xml:space="preserve">Circular No 7: Se reducen $20.000.000 de recursos propios 20 del concepto “Software para administración de la biblioteca” para crear o aumentar a los siguientes conceptos: 
a) Se crea por $ 5.000.000 por recursos propios 20 el concepto ”Contratación de prestación de servicios para espacio de capacitación elaboración documentos accesibles formato  EPUB  a servidores públicos del INCI”
b) Se crea por $ 6.594.554 por recursos propios 20 el concepto “Contratación de prestación de servicios para actividades de producción de libros especializados en formato EPUB (1)”
c) Se aumentan $ 4.200.000 de recursos propios al concepto “Tiquetes aéreos”, el cual queda con un saldo de $9.000.006
d) Se aumentan $ 3.605.446 al concepto “Viaticos”, el cual queda con un saldo de $7.047.493
e) Se aumentan $ 600.000 al concepto “Tiquetes Terrestres” el cual queda con un saldo de $ 1.020.000
</t>
  </si>
  <si>
    <t xml:space="preserve">Circular No 7: Se reducen $$ 52.946.091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t>
  </si>
  <si>
    <t>Circular No 7: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3. Se reducen $ 459.355 de recursos propios 20 del concepto “Contratar prestación de servicio para actividades de estructuración  y catalogación de textos 1” el cual queda con un saldo de $20.421.475 y se aumentan al concepto creado “ Contratación de prestación de servicios para actividades de producción de libros especializados en formato EPUB (1), el cual queda con un saldo en propios 20 de $7.053.909</t>
  </si>
  <si>
    <t>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Para crear este concepto</t>
  </si>
  <si>
    <t>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Para crear este concepto</t>
  </si>
  <si>
    <t xml:space="preserve">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t>
  </si>
  <si>
    <t xml:space="preserve">Circular No 3:  Se reducen por recursos Nación $ 1.800.000 del concepto “Contrato de prestación de servicios de apoyo para producción, animación e ilustración en el centro audiovisual”, el  cual queda con un saldo de $ 22.095.993  y se crea el concepto “Prestar servicios tecnólogos y de apoyo a la gestión para producción de contenidos web y radiales de INCI Radio para el cubrimiento regional de actividades deportivas” por $1.800.000
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t>
  </si>
  <si>
    <t>Tiquetes aéreos  (fomento de la lectura; bibliotecas regionales; universidades)</t>
  </si>
  <si>
    <t xml:space="preserve">OTROS SERVICIOS DE ESPARCIMIENTO Y DIVERSIÓN </t>
  </si>
  <si>
    <t>819-5219-16919-19119</t>
  </si>
  <si>
    <t>3819-5619+7719-10119-14119-19619</t>
  </si>
  <si>
    <t>919-5319-20019</t>
  </si>
  <si>
    <t>7819-20619</t>
  </si>
  <si>
    <t>102-2018-062-2019</t>
  </si>
  <si>
    <t>CONSORCIO INGEB
DINGCO SAS</t>
  </si>
  <si>
    <t>3619-5719-20719</t>
  </si>
  <si>
    <t>14121904;45101603;45101901;24112404;24111503;41122702;44102405;55121606;55121612;44102806;44103124;44103504;44121622;44121634;44121635;44121701;44121708;44121804;44122117;45101603</t>
  </si>
  <si>
    <t>7/02/2019-06-03-2019-2019-04-02-06-05-2019-05-06-2019-2019-07-02-05-08-2019</t>
  </si>
  <si>
    <t>RESOLUCION
201911200000333-0513-0713-0933-1273-1623-1903</t>
  </si>
  <si>
    <t>098-2018</t>
  </si>
  <si>
    <t>MERLO ARGUELLO LEILA DOLORES</t>
  </si>
  <si>
    <t>10319-35019</t>
  </si>
  <si>
    <t xml:space="preserve">2019-03-12 -2019-08-16 </t>
  </si>
  <si>
    <t>031-2019-064-2019</t>
  </si>
  <si>
    <t>BARRIOS ARDILA ADRIANA DEL PILAR
SIERRA BERMUDEZ LEIDY KATHERINE</t>
  </si>
  <si>
    <t>DINGCO S A S</t>
  </si>
  <si>
    <t>062-2019</t>
  </si>
  <si>
    <t>5/04/2019-</t>
  </si>
  <si>
    <t xml:space="preserve">MURILLO MORA RONALD STEVEN
</t>
  </si>
  <si>
    <t>22619</t>
  </si>
  <si>
    <t>22719</t>
  </si>
  <si>
    <t>22819</t>
  </si>
  <si>
    <t>22919</t>
  </si>
  <si>
    <t>23019</t>
  </si>
  <si>
    <t>15319-38919</t>
  </si>
  <si>
    <t>15/04/2019-28-08-2019</t>
  </si>
  <si>
    <t>041-2019-066-2019</t>
  </si>
  <si>
    <t>FEC SUMINISTROS Y SERVICIOS SAS
SUPPLER S.A.S</t>
  </si>
  <si>
    <t>14619-19019-19719-25219-26119-26519-35319</t>
  </si>
  <si>
    <t>10/04/2019-09-05-2019-20-05-2019-11-06-2019-19-06-2019-08-02-2019</t>
  </si>
  <si>
    <t>RESOLUUCION 
0793-0963-1063-1383-1463-1483-1933</t>
  </si>
  <si>
    <t>OBLIGADO
NACION 10</t>
  </si>
  <si>
    <t>OBLIGADO
PROPIOS 20</t>
  </si>
  <si>
    <t>OBLIGADO
PROPIOS 21</t>
  </si>
  <si>
    <t>Saldo RP 
 NACIÓN 10</t>
  </si>
  <si>
    <t>Saldo RP 
PROPIOS 20</t>
  </si>
  <si>
    <t>Saldo RP
PROPIOS 21</t>
  </si>
  <si>
    <t>25419-34819-34919-36119-36219</t>
  </si>
  <si>
    <t>11/06/2019-2019-06-05-2019-08-06-16-08-2019-30-08-2019</t>
  </si>
  <si>
    <t>viaticos</t>
  </si>
  <si>
    <t>1923-1913-2073-2063-2243</t>
  </si>
  <si>
    <t xml:space="preserve">Centro Cultural </t>
  </si>
  <si>
    <r>
      <t xml:space="preserve">Objeto del gasto y uso presupuestal sugerido </t>
    </r>
    <r>
      <rPr>
        <b/>
        <sz val="24"/>
        <color theme="0"/>
        <rFont val="Arial"/>
        <family val="2"/>
      </rPr>
      <t xml:space="preserve">(Al obligar se debe seleccionar el uso presupuestal que corresponda según las facturas y soportes) </t>
    </r>
  </si>
  <si>
    <t xml:space="preserve">Circular No 3: Se reducen por recursos Nación $ 1.800.000 del concepto “Contrato de prestación de servicios de apoyo para producción, animación e ilustración en el centro audiovisual”, el  cual queda con un saldo de $ 22.095.993  y se crea el concepto “Prestar servicios tecnólogos y de apoyo a la gestión para producción de contenidos web y radiales de INCI Radio para el cubrimiento regional de actividades deportivas” por $1.800.000
Circular No 8:Se reducen de recursos Nación $22.095.993 del concepto “Contrato de prestación de servicios de apoyo para producción, animación e ilustración en el centro audiovisual” el cual queda con un saldo de $0 y se crea el concepto  “Adquisición de equipos para grabación de video y audio del centro audiovisual y para emisión y producción radial”, el cual queda con un saldo de $22.095.993 </t>
  </si>
  <si>
    <t>Octubre</t>
  </si>
  <si>
    <t>Circular No 3: Se reducen de recursos nación $ 10.852.559 del concepto “Servicio Internet - Canal principal” el cual queda con un saldo de $6.147.441 y se aumentan por recursos nación al concepto “Contratar el servicio de hosting para el alojamiento de la página web y aplicaciones del Instituto Nacional Para Ciegos - INCI, acorde con el anexo técnico, los estudios previos y el pliego de condiciones”, el cual queda con un saldo en recursos nación de $40.852.559 y en propios de $17.000.000 para un total de $ 57.852.559
Circular No 4: Se reduce de recursos Nación $2.388.387 del concepto “Servicio de internet- Canal principal, el cual queda con un saldo de $3.729.054 y se aumenta por recursos Nación al concepto “Contratacion de prestación de servicios para la adecuación infraestructura física”, el cual queda con un saldo de $72.496.744
Circular No 8: 2. Se reducen $61.758 de recursos Propios del concepto “Adquisición de antivirus”, el cual queda con un saldo de $  6.938.242 y se crea por propios 20 el concepto “Servicio Internet - Canal principal” el cual queda con un saldo total de $3.820.812 ya que en Nación cuenta con $3.759.054</t>
  </si>
  <si>
    <t>Circular No 8: Se reducen $3.301.500 de recursos Nación del concepto ”Otros tipos de educación y servicios de apoyo educativo” el cual queda con un saldo de $0 y se aumentan al concepto “Otros Servicios De Esparcimiento y Diversión” el cual queda con un saldo de $ 10.294.817
Se reducen $ 927.065 de recursos Propios 20 del concepto ”Otros tipos de educación y servicios de apoyo educativo” el cual queda con un saldo de $0 y se aumentan al concepto “Otros Servicios De Esparcimiento y Diversión” el cual queda con un saldo de $ 14.947.567</t>
  </si>
  <si>
    <t>“Adquisición de equipos de transporte industrial para la organización, el almacenamiento y el traslado de materias primas, productos en proceso y materiales finalizados dentro de la Imprenta Nacional para Ciegos del INCI</t>
  </si>
  <si>
    <t xml:space="preserve">56121001
56121302
24101508
24102101
</t>
  </si>
  <si>
    <t>82121901</t>
  </si>
  <si>
    <t xml:space="preserve">Circular No 8: Se reducen $ 918.210 de recursos Nación del concepto “Contratación de prestación de servicios profesionales de diseño y corrección de estilo para la imprenta nacional para ciegos 2”, el cual queda con un saldo de $ 2.402.480 y se aumentan al concepto “Contratación de servicios  de apoyo a la gestion  (10) para la imprenta Nacional para Ciegos (elecciones de alcalde)” el cual queda con un saldo de $17.806.800 
</t>
  </si>
  <si>
    <t>Contratación de prestación de servicios profesionales para realizar la transcripción, diagramación e impresión de tarjetas electorales en la Imprenta Nacional para Ciegos</t>
  </si>
  <si>
    <t xml:space="preserve">82111604
82141502
</t>
  </si>
  <si>
    <t>Contratación de servicios  de apoyo a la gestion  para revisar la calidad del braille, compaginar y apoyo en empaque en  la imprenta Nacional para Ciegos durante el periodo de impresión de tarjetas electorales</t>
  </si>
  <si>
    <t>83111500</t>
  </si>
  <si>
    <t>Circular No 8: 3. De acuerdo con la Resolución No 20191120002343 del 10 de septiembre de 2019, se reducen $23.000.000 de recursos Nación del concepto “Adquisición de licencias de suite de office para los equipos de cómputo del INCI” el cual queda con un saldo de $0 y se aumentan al concepto Contrato de servicios de mantenimiento y reparación de infraestructura el cual queda con un saldo de $95.496.744</t>
  </si>
  <si>
    <t xml:space="preserve">Circular No 8: 1. Se reducen $2.000 de recursos Nación del concepto “Servicios de telefonía y otras telecomunicaciones” el cual queda con un saldo de $7.447.906 y se aumentan $2.000 al concepto Tasas y derechos administrativos el cual queda con un saldo de $55.000 </t>
  </si>
  <si>
    <t>Circular No 8: 1. Se reducen $400.000 de recursos propios 20 del concepto “Evento para fortalecer las condiciones de actores públicos y privados para la inclusión de las personas con discapacidad visual” el cual queda con un saldo de $8.200.000 y se aumentan al concepto tiquetes terrestres (Educación) el cual queda con un saldo de $6.561.078</t>
  </si>
  <si>
    <t xml:space="preserve">Evento para fortalecer las condiciones de actores públicos y privados para la inclusión de las personas con discapacidad visual </t>
  </si>
  <si>
    <t>Valor real del contrato a la fecha
Nación 10</t>
  </si>
  <si>
    <t>Valor Utilizado CDP NACION 10</t>
  </si>
  <si>
    <t xml:space="preserve">Valor Utilizado RP NACION 10 </t>
  </si>
  <si>
    <t>25419-25519</t>
  </si>
  <si>
    <t>25619-25719-25819-26019-26219-26319-26419-26519</t>
  </si>
  <si>
    <t>25919-26119-26619</t>
  </si>
  <si>
    <t>Adquisición de equipos para grabación y emisión radial de la Emisora INCI Radio</t>
  </si>
  <si>
    <t xml:space="preserve">Circular No 8: Se reducen de recursos Nación $22.095.993 del concepto “Contrato de prestación de servicios de apoyo para producción, animación e ilustración en el centro audiovisual” el cual queda con un saldo de $0 y se crea el concepto  “Adquisición de equipos para grabación y emisión radial de la Emisora INCI Radio", el cual queda con un saldo de $22.095.993 
Se reducen de recursos Nación $ 10.183.725 del concepto “Contratación de servicios  profesionales para la producción artística y la locución comercial” el cual queda con un saldo de $0 y aumentan al concepto creado de “Adquisición de equipos para grabación y emisión radial de la Emisora INCI Radio", por recursos propios el cual queda con un saldo de $ 32.279,718.
De acuerdo con lo anterior, el concepto de “Adquisición de equipos para grabación de video y audio del centro audiovisual y para emisión y producción radial” queda con un saldo total de $47.279.718
</t>
  </si>
  <si>
    <t>Circular No 8: Se reducen de recursos Nación $ 10.183.725 del concepto “Contratación de servicios  profesionales para la producción artística y la locución comercial” el cual queda con un saldo de $0 y aumentan al concepto creado de “Adquisición de equipos para grabación y emisión radial de la Emisora INCI Radio, por recursos propios el cual queda con un saldo de $ 25.183.725.</t>
  </si>
  <si>
    <t>Establecer alianzas con entidades académicas y otras instituciones para el desarrollo de los ejercicios de investigación</t>
  </si>
  <si>
    <t xml:space="preserve">Circular No 6: Se reducen de recursos Nación $ 800.000 del concepto “Establecer alianzas con entidades académicas y otras instituciones para el desarrollo de los ejercicios de investigación ” el cual queda con un saldo de $14.200.000 y se crea por recursos Nación el concepto “Tiquetes aéreos”; el cual queda con un saldo de recursos nación de $800.000. Dado que tiene por recursos Propios 20, $4.000.000 queda con un saldo total de $4.800.000
</t>
  </si>
  <si>
    <t xml:space="preserve">Circular No 8: 10. Con el objeto de aumentar $2.000.000 por recursos propios 20 al concepto viáticos se realizan las siguientes modificaciones: 
a) Se reducen $945.000 del concepto “Contratacion prestación de servicios para el acceso a la cultura de las PDV”, el cual queda con un saldo de $ $30.240.000
b) Se reducen $636.610 del concepto “Contratar prestación de servicio para actividades de estructuración  y catalogación de textos 3”, el cual queda con un saldo de $20.244.220
c) Se reducen $418.930 del concepto “Contratar prestación de servicio para actividades de estructuración  y catalogación de textos 2” el cual queda con un saldo de $20.462.440
</t>
  </si>
  <si>
    <t xml:space="preserve">Circular No 8: Con el objeto de aumentar $2.000.000 por recursos propios 20 al concepto viáticos se realizan las siguientes modificaciones: 
a) Se reducen $945.000 del concepto “Contratacion prestación de servicios para el acceso a la cultura de las PDV”, el cual queda con un saldo de $ $30.240.000
b) Se reducen $636.610 del concepto “Contratar prestación de servicio para actividades de estructuración  y catalogación de textos 3”, el cual queda con un saldo de $20.244.220
c) Se reducen $418.930 del concepto “Contratar prestación de servicio para actividades de estructuración  y catalogación de textos 2” el cual queda con un saldo de $20.462.440
</t>
  </si>
  <si>
    <t xml:space="preserve">Circular 7: 3. Se reducen $ 459.355 del concepto “Contratar prestación de servicio para actividades de estructuración  y catalogación de textos 1” el cual queda con un saldo de $20.421.475 y se aumentan al concepto creado “ Contratación de prestación de servicios para actividades de producción de libros especializados en formato EPUB (1), el cual queda con un saldo en propios 20 de $7.053.909
Circular No 8: 11.  Con el objeto de aumentar $ 395.475 al concepto Tiquetes terrestres (centro cultural), el cual queda con un saldo de $1.415.475 se realizan las siguientes modificaciones: 
a) Se reducen $218.220 del concepto “Contratar prestación de servicio para actividades de estructuración  y catalogación de textos 2” el cual queda con un saldo de $20.244.220
b) Se reducen $177.255 del concepto “Contratar prestación de servicio para actividades de estructuración  y catalogación de textos 1”, el cual queda con un saldo $20.244.220
</t>
  </si>
  <si>
    <t xml:space="preserve">Circular No 8:Con el objeto de aumentar $2.000.000 por recursos propios 20 al concepto viáticos se realizan las siguientes modificaciones: 
a) Se reducen $945.000 del concepto “Contratacion prestación de servicios para el acceso a la cultura de las PDV”, el cual queda con un saldo de $ $30.240.000
b) Se reducen $636.610 del concepto “Contratar prestación de servicio para actividades de estructuración  y catalogación de textos 3”, el cual queda con un saldo de $20.244.220
c) Se reducen $418.930 del concepto “Contratar prestación de servicio para actividades de estructuración  y catalogación de textos 2” el cual queda con un saldo de $20.462.440
11.  Con el objeto de aumentar $ 395.475 al concepto Tiquetes terrestres (centro cultural), el cual queda con un saldo de $1.415.475 se realizan las siguientes modificaciones: 
a) Se reducen $218.220 del concepto “Contratar prestación de servicio para actividades de estructuración  y catalogación de textos 2” el cual queda con un saldo de $20.244.220
b) Se reducen $177.255 del concepto “Contratar prestación de servicio para actividades de estructuración  y catalogación de textos 1”, el cual queda con un saldo $20.244.220
</t>
  </si>
  <si>
    <t xml:space="preserve">Circular No 8: 2. Con el objeto de crear por recursos propios 20 el concepto “Convenio de asociación con la Federación Colombiana de Organizaciones de Personas con Discapacidad Visual –FECODIV para capacitar de manera presencial a grupos de personas con discapacidad visual del país”, por $12.000.000 se realizan las siguientes modificaciones: 
a) Se reducen $8.200.000 por recursos propios 20 del concepto “Evento para fortalecer las condiciones de actores públicos y privados para la inclusión de las personas con discapacidad visual” el cual queda con un saldo de $0 
b) Se reducen $3.800.000  por recursos propios 20 del concepto “Contratación de adquisición de bienes para garantizar el acceso a la información y contenidos del INCI en las regiones” el cual queda con un saldo de $19.200.000. 
</t>
  </si>
  <si>
    <t>21319-21819-27119</t>
  </si>
  <si>
    <t>A-02-02-02-009</t>
  </si>
  <si>
    <t>FACTURA
538757613-8//538757496-6--542234395-8//542234512-0//552552240-0// 5525522123-7
562893768-6//562893651-6</t>
  </si>
  <si>
    <r>
      <t xml:space="preserve">Objeto del gasto y uso presupuestal sugerido </t>
    </r>
    <r>
      <rPr>
        <b/>
        <sz val="16"/>
        <color theme="0"/>
        <rFont val="Arial"/>
        <family val="2"/>
      </rPr>
      <t xml:space="preserve">(Al obligar se debe seleccionar el uso presupuestal que corresponda según las facturas y soportes) </t>
    </r>
  </si>
  <si>
    <r>
      <rPr>
        <sz val="16"/>
        <color rgb="FFFF0000"/>
        <rFont val="Arial"/>
        <family val="2"/>
      </rPr>
      <t>COLOMBIANA DE TELECOMUNICACIONES SA</t>
    </r>
    <r>
      <rPr>
        <sz val="16"/>
        <rFont val="Arial"/>
        <family val="2"/>
      </rPr>
      <t xml:space="preserve">
EMPRESA DE TELECOMUNICACIONES DE BOGOTA
</t>
    </r>
  </si>
  <si>
    <t>Adquisición de equipos de transporte industrial para la organización, el almacenamiento y el traslado de materias primas, productos en proceso y materiales finalizados dentro de la Imprenta Nacional para Ciegos del INCI</t>
  </si>
  <si>
    <t>10 días</t>
  </si>
  <si>
    <t>Adquisición de pliegos de cartulina bristol para la producción de tarjetas electorales para la Imprenta Nacional para Ciegos</t>
  </si>
  <si>
    <t xml:space="preserve">Circular No 9: Se reduce de recursos Nación $ 17.909.500 del concepto “Adquisición de pliegos de papel para la producción de la imprenta nacional para Ciegos”, el cual queda con un saldo de $205.090.221 y se crea el concepto “Adquisición de pliegos de cartulina bristol para la producción de tarjetas electorales para la Imprenta Nacional para Ciegos por $ 17.909.500 </t>
  </si>
  <si>
    <t>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Circular No 9: Se reducen de recursos Propios 20 $2.115.756 del concepto “Contratación de prestación de servicios para el diseño, producción y montaje de tres exposiciones temporales para conmemorar el bicentenario” el cual queda con un saldo de $26.743.580  y se crea el concepto  por recursos propios 20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$2.115.756
De acuerdo con la Resolución No 20191120002723 del 1 de octubre de 2019;  se reducen $19.200.000 de recursos Propios 20 del concepto “Contratación de adquisición de bienes para garantizar el acceso a la información y contenidos del INCI en las regiones” el cual queda con un saldo de $0 y aumentan al concepto creado por recursos propios 20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$ 21.315.756</t>
  </si>
  <si>
    <t>Circular No 8: 2. Con el objeto de crear por recursos propios 20 el concepto “Convenio de asociación con la Federación Colombiana de Organizaciones de Personas con Discapacidad Visual –FECODIV para capacitar de manera presencial a grupos de personas con discapacidad visual del país”, por $12.000.000 se realizan las siguientes modificaciones: 
a) Se reducen $8.200.000 por recursos propios 20 del concepto “Evento para fortalecer las condiciones de actores públicos y privados para la inclusión de las personas con discapacidad visual” el cual queda con un saldo de $0 
b) Se reducen $3.800.000  por recursos propios 20 del concepto “Contratación de adquisición de bienes para garantizar el acceso a la información y contenidos del INCI en las regiones” el cual queda con un saldo de $19.200.000. 
Circular No 9: . De acuerdo con la Resolución No 20191120002723 del 1 de octubre de 2019;  se reducen $19.200.000 de recursos Propios 20 del concepto “Contratación de adquisición de bienes para garantizar el acceso a la información y contenidos del INCI en las regiones” el cual queda con un saldo de $0 y aumentan al concepto creado por recursos propios 20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$ 21.315.756</t>
  </si>
  <si>
    <t>Convenio de asociación con la Federación Colombiana de Organizaciones de Personas con Discapacidad Visual –FECODIV con el fin de aunar esfuerzos para capacitar de manera presencial a grupos de personas con discapacidad visual del país, en el Marco del Plan Nacional de Desarrollo, Pacto por la inclusión de toda las personas con discapacidad , el decreto 1350 de 2018 y acorde con la información recibida por el INCI en el Encuentro Nacional de Organizaciones de Personas Ciegas y con Baja Visión en marzo de 2019</t>
  </si>
  <si>
    <t>059-2019</t>
  </si>
  <si>
    <t>SERVICIO AEREO A TERRITORIOS NACIONALES S.A.</t>
  </si>
  <si>
    <t>LOPEZ GONZALEZ FRANCY NATHALIA
RENGIFO GAMBOA MARIA FERNANDA</t>
  </si>
  <si>
    <t>23419</t>
  </si>
  <si>
    <t>067-2019</t>
  </si>
  <si>
    <t>25519-34419-39319</t>
  </si>
  <si>
    <t>12-06-2019
31-07-2019
02-09-2019</t>
  </si>
  <si>
    <t>051-2019
061-2019
065-2019</t>
  </si>
  <si>
    <t>JAIME ENRIQUE RODRIGUEZ HUERTAS
CARLOS GREGORIO PUENTES ROJAS
RICOH COLOMBIA S.A</t>
  </si>
  <si>
    <t>065-2019</t>
  </si>
  <si>
    <t>SEPULVEDA RODRIGUEZ ANDRES EDUARDO</t>
  </si>
  <si>
    <t>RUIZ BERMUDEZ ADRIANA CRISTINA</t>
  </si>
  <si>
    <t>SUAREZ CELIS NURY CAROLINA</t>
  </si>
  <si>
    <t>ZARATE ARIZA PAULA ALEJANDRA</t>
  </si>
  <si>
    <t>CORTES GRANADA ALYS JIMENA</t>
  </si>
  <si>
    <t>LEON GONZALEZ DAVID</t>
  </si>
  <si>
    <t>2019-09-05 17:05:23</t>
  </si>
  <si>
    <t>070-2019</t>
  </si>
  <si>
    <t>073-2019</t>
  </si>
  <si>
    <t>069-2019</t>
  </si>
  <si>
    <t>071-2019</t>
  </si>
  <si>
    <t>072-2019</t>
  </si>
  <si>
    <t>MILENIO EDITORES E IMPRESORES E U</t>
  </si>
  <si>
    <t>081-2019</t>
  </si>
  <si>
    <t>9819-26319</t>
  </si>
  <si>
    <t>1/03/2019-19-06-2019</t>
  </si>
  <si>
    <t>45419+459119+46019</t>
  </si>
  <si>
    <t>25-09-2019/27-09-2019</t>
  </si>
  <si>
    <t>078-2019-076-2019-077-2019</t>
  </si>
  <si>
    <t>OSORIO ARIAS IRMA YANET-ANDRADE LOZADA TARCICIO-BOLIVAR RODRIGUEZ DIANA GUIOMAR</t>
  </si>
  <si>
    <t>3819-5619-7719-10119-14119-16719-19619+23519-28919</t>
  </si>
  <si>
    <t>6119-9919-14019-18719-23919-23919-34619-39719+47319</t>
  </si>
  <si>
    <t>7/02/2019-06-03-2019-2019-04-02-06-05-2019-05-06-2019-2019-07-02-05-08-2019-2019-09-05-03-010-2019</t>
  </si>
  <si>
    <t>RESOLUCION
201911200000333-0513-0713-0933-1273-1623-1903-2253-2733</t>
  </si>
  <si>
    <t>5919-29119</t>
  </si>
  <si>
    <t>2019-09-24/2019-09-27-2019-10-02</t>
  </si>
  <si>
    <t>46319+44919+45119+45819+46219+44819+46119-47219</t>
  </si>
  <si>
    <t>082-2019-079-2019-085-2019-083-2019-084-2019-086-2019-087-2019-089-2019</t>
  </si>
  <si>
    <t>GUEVARA PEDRAZA JUAN SEBASTIAN-VILLAMIZAR LEON JOSHUA-MORA CANTOR FERNANDO-ANDRADE CORTES ANDRES FELIPE-CACERES MUÑOZ JOSE ALEJANDRO-BRICEÑO GUAYARA OSCAR HERNAN-POVEDA GARCIA ANYEL MAYERLY--MENDOZA DURAN IVAN FELIPE</t>
  </si>
  <si>
    <t>GONZALEZ MUÑOZ WALTER JULIAN-MERCHAN RIOS OSCAR ANDRES</t>
  </si>
  <si>
    <t>45019-47119</t>
  </si>
  <si>
    <t>2019-09-24-10-02-2019</t>
  </si>
  <si>
    <t>088-2019-08919</t>
  </si>
  <si>
    <t>Adquisición licenciamiento Microsoft office y Sistema operativo Windows</t>
  </si>
  <si>
    <t>Circular No 9: Se  reducen de recursos nación $8.000.000 del concepto “Adquisición accesspoint y fortin analyzer (internet gratis para la gente), el cual queda con un saldo de $12.000.000 y se crea el concepto “Adquisición licenciamiento Microsoft office y Sistema operativo Windows” por $8.000.000</t>
  </si>
  <si>
    <t>Circular No 9: 1. Se modifica el nombre del concepto “Adquisición de 95 licencias de office 365 en el plan e1 open, integrando el correo a las soluciones en la nube de Microsoft office 365 y Exchange online por  “Adquisición licenciamiento Microsoft office y Sistema operativo Windows”</t>
  </si>
  <si>
    <t>7519-29319</t>
  </si>
  <si>
    <t>A-02-02-01-004</t>
  </si>
  <si>
    <t>092-2019</t>
  </si>
  <si>
    <t>VENEPLAST LTDA</t>
  </si>
  <si>
    <t>091-2019</t>
  </si>
  <si>
    <t>090-2019</t>
  </si>
  <si>
    <t>CAJA DE COMPENSACION FAMILIAR CAFAM</t>
  </si>
  <si>
    <t>39219-41719-48519</t>
  </si>
  <si>
    <t>2/09/2019-019-09-16-10-10-2019</t>
  </si>
  <si>
    <t>067-2019-075-2019-093-2019</t>
  </si>
  <si>
    <t>PANAMERICANA LIBRERIA Y PAPELERIA SA
COMERCIALIZADORA COMSILA SAS
MULTISUMINISTROS</t>
  </si>
  <si>
    <t>19119-48619</t>
  </si>
  <si>
    <t>13/05/2019-15-10-2019</t>
  </si>
  <si>
    <t>52161548
52161541
52161520
43201827</t>
  </si>
  <si>
    <t>319-9619-29219-49619</t>
  </si>
  <si>
    <t>18/01/2019-2019-02-28 -18-10-2019</t>
  </si>
  <si>
    <t>A-02-01-01-003 08 01 2</t>
  </si>
  <si>
    <t xml:space="preserve">Mobiliario uso institucional  </t>
  </si>
  <si>
    <t xml:space="preserve">56112204-
56112206-
56112103-56112104-
56101518
</t>
  </si>
  <si>
    <t>7919-31719</t>
  </si>
  <si>
    <t>Circular No 10: 2. Se reducen de recursos Propios 20 $ 2.089.848 del concepto “Servicios de telefonía y otras telecomunicaciones” el cual queda con un saldo de $2.962.538 y se aumentan por recursos Propios 20 $2.089.848 al concepto “Honorarios- Consejo directivo” el cual queda con un saldo de $5.605.435</t>
  </si>
  <si>
    <t xml:space="preserve">Circular No 3: Según la Resolución No 20191120000883 del 24 de abril de 2019, se reducen de recursos propios 20 $4.794.425 de los conceptos “Servicios de saneamiento y similares $2.877.547 el cual queda con un saldo de $22.453 y del concepto “Servicios de lavado, limpieza y teñido” $1.916.878 el cual queda con un saldo de $83.122 para ser distribuido de la siguiente manera: 
a) Se crea por recursos propios 20 el concepto “Otros servicios auxiliares” por $4.376.427 
Circular No 10: 4. Con el propósito de aumentar por recursos propios 20 $ 3.052.784 al concepto “Servicios de mantenimiento de ascensores” el cual queda con un saldo de $7.829.408 se realizan las siguientes modificaciones: 
a) Se reducen de recursos Propios 20 $ 10.000 del concepto “Otros servicios auxiliares” el cual queda con un saldo de $4.366.427 
b) Se reducen por recursos propios 20 $ 208.040 del concepto Servicios de investigación y seguridad” el cual queda con un saldo de $491.960
c) Se reducen por recursos propios 20 $ 2.834.744 del concepto Servicios de mantenimiento y reparación de computadores y equipo periférico” el cual queda con un saldo de $1.826.462
</t>
  </si>
  <si>
    <t xml:space="preserve">Circular No 6: Con el propósito de aumentar $3.021.654 de recursos Nación al concepto “Servicios de investigación y seguridad”, se hacen las siguientes modificaciones: 
a) Se reduce recursos Nación “$1.921.654 del concepto “Servicio de instalación o mantenimiento o reparación de aires acondicionados el cual queda con un saldo de $3.578.346 
b) Se reduce de recursos Nación $1.100.000 del concepto “Caja menor- Mantenimiento” el cual queda con un saldo de $0
- Se reducen $ 700.000 de recursos propios 20 del concepto” Servicio de inspección de equipos (Certificación ascensores)” el cual queda con un saldo de $800.000 y se crea por recursos propios 20 el concepto “Servicios de investigación y seguridad” por $700.000 
De acuerdo con lo anterior, el concepto “Servicios de investigación y seguridad” queda con un saldo total de $107.015.662
Circular No 10: 4. Con el propósito de aumentar por recursos propios 20 $ 3.052.784 al concepto “Servicios de mantenimiento de ascensores” el cual queda con un saldo de $7.829.408 se realizan las siguientes modificaciones: 
a) Se reducen de recursos Propios 20 $ 10.000 del concepto “Otros servicios auxiliares” el cual queda con un saldo de $4.366.427 
b) Se reducen por recursos propios 20 $ 208.040 del concepto Servicios de investigación y seguridad” el cual queda con un saldo de $491.960
c) Se reducen por recursos propios 20 $ 2.834.744 del concepto Servicios de mantenimiento y reparación de computadores y equipo periférico” el cual queda con un saldo de $1.826.462
</t>
  </si>
  <si>
    <t>Circular  No 10: 4. Con el propósito de aumentar por recursos propios 20 $ 3.052.784 al concepto “Servicios de mantenimiento de ascensores” el cual queda con un saldo de $7.829.408 se realizan las siguientes modificaciones: 
a) Se reducen de recursos Propios 20 $ 10.000 del concepto “Otros servicios auxiliares” el cual queda con un saldo de $4.366.427 
b) Se reducen por recursos propios 20 $ 208.040 del concepto Servicios de investigación y seguridad” el cual queda con un saldo de $491.960
c) Se reducen por recursos propios 20 $ 2.834.744 del concepto Servicios de mantenimiento y reparación de computadores y equipo periférico” el cual queda con un saldo de $1.826.462
5. Con el propósito de aumentar por recursos propios 20 $ 3.289.000 al concepto “Contrato de prestación de servicios como apoyo a la oficina de control interno” el cual queda con un saldo de $36.179.000 se realizan las siguientes modificaciones: 
a) Se reducen de recursos Propios 20 $ 1.462.538 del concepto “Servicios de telefonía y otras telecomunicaciones” el cual queda con un saldo de $1.500.000
b) Se reducen por recursos propios 20 $ 1.826.462 del concepto Servicios de mantenimiento y reparación de computadores y equipo periférico el cual queda con un saldo de $0</t>
  </si>
  <si>
    <t xml:space="preserve">Cicular No 6: 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Circular No 10: 2. Se reducen de recursos Nación $657.800 del concepto “Servicios de telefonía y otras telecomunicaciones” el cual queda con un saldo de $21.190.848 y se crea por recursos Nación el concepto “Contrato de prestación de servicios como apoyo a la oficina de control interno” el cual queda con un saldo de $ 657.800
5. Con el propósito de aumentar por recursos propios 20 $ 3.289.000 al concepto “Contrato de prestación de servicios como apoyo a la oficina de control interno” el cual queda con un saldo de $36.179.000 se realizan las siguientes modificaciones: 
a) Se reducen de recursos Propios 20 $ 1.462.538 del concepto “Servicios de telefonía y otras telecomunicaciones” el cual queda con un saldo de $1.500.000
b) Se reducen por recursos propios 20 $ 1.826.462 del concepto Servicios de mantenimiento y reparación de computadores y equipo periférico el cual queda con un saldo de $0
</t>
  </si>
  <si>
    <t xml:space="preserve">Circular No 10: 
1. Con el propósito de aumentar de recursos Nación $7.755.807 al concepto “Contrato de servicios de mantenimiento y reparación de infraestructura” el cual queda con un saldo de $ 103.252.551 se realizan las siguientes modificaciones: 
a) Se reduce $5.700.000 del concepto “Contrato de prestación de servicios para fortalecer las capacidades, conocimientos y habilidades de los servidores públicos el cual queda con un saldo de $ 0
b) Se reduce $57.404 del concepto “Contratar servicio de salud ocupacional y laboral” el cual queda con un saldo de $ 6.242.596
c) Se reduce $ 1.008.911 del concepto “Contrato de prestación de servicios técnicos de apoyo integral a la gestión y demás actividades dentro del proceso de Gestión Humana y su Plan Estratégico de Recursos Humanos” el cual queda con un saldo de $29.178.589
d) Se reduce $ 340.100 del concepto “Servicio de Streaming para la Emisora Virtual INCI Radio, del Instituto Nacional para Ciegos” el cual queda con un saldo de $1.159.900
e) Se reduce $551.392 del concepto “Adquisición accesspoint y fortin analyzer (internet gratis para la gente) ” el cual queda con un saldo de $ 11.448.608
f) Se reduce $98.000 del concepto “Soporte directorio activo” el cual queda con un saldo de $ 6.902.000
</t>
  </si>
  <si>
    <t>Circular No 10: 
1. Con el propósito de aumentar de recursos Nación $7.755.807 al concepto “Contrato de servicios de mantenimiento y reparación de infraestructura” el cual queda con un saldo de $ 103.252.551 se realizan las siguientes modificaciones: 
a) Se reduce $5.700.000 del concepto “Contrato de prestación de servicios para fortalecer las capacidades, conocimientos y habilidades de los servidores públicos el cual queda con un saldo de $ 0
b) Se reduce $57.404 del concepto “Contratar servicio de salud ocupacional y laboral” el cual queda con un saldo de $ 6.242.596
c) Se reduce $ 1.008.911 del concepto “Contrato de prestación de servicios técnicos de apoyo integral a la gestión y demás actividades dentro del proceso de Gestión Humana y su Plan Estratégico de Recursos Humanos” el cual queda con un saldo de $29.178.589
d) Se reduce $ 340.100 del concepto “Servicio de Streaming para la Emisora Virtual INCI Radio, del Instituto Nacional para Ciegos” el cual queda con un saldo de $1.159.900
e) Se reduce $551.392 del concepto “Adquisición accesspoint y fortin analyzer (internet gratis para la gente) ” el cual queda con un saldo de $ 11.448.608
f) Se reduce $98.000 del concepto “Soporte directorio activo” el cual queda con un saldo de $ 6.902.000</t>
  </si>
  <si>
    <t>Circular 8:  Se reducen $300.000 de recursos Nación del concepto Contrato de prestación de servicios para fortalecer las capacidades, conocimientos y habilidades de los servidores públicos” el cual queda con un saldo de $5.700.000 y se aumentan al concepto “Contratar servicio de salud ocupacional y laboral” el cual queda con un saldo de $ 6.300.000
Circular No 10: 
1. Con el propósito de aumentar de recursos Nación $7.755.807 al concepto “Contrato de servicios de mantenimiento y reparación de infraestructura” el cual queda con un saldo de $ 103.252.551 se realizan las siguientes modificaciones: 
a) Se reduce $5.700.000 del concepto “Contrato de prestación de servicios para fortalecer las capacidades, conocimientos y habilidades de los servidores públicos el cual queda con un saldo de $ 0
b) Se reduce $57.404 del concepto “Contratar servicio de salud ocupacional y laboral” el cual queda con un saldo de $ 6.242.596
c) Se reduce $ 1.008.911 del concepto “Contrato de prestación de servicios técnicos de apoyo integral a la gestión y demás actividades dentro del proceso de Gestión Humana y su Plan Estratégico de Recursos Humanos” el cual queda con un saldo de $29.178.589
d) Se reduce $ 340.100 del concepto “Servicio de Streaming para la Emisora Virtual INCI Radio, del Instituto Nacional para Ciegos” el cual queda con un saldo de $1.159.900
e) Se reduce $551.392 del concepto “Adquisición accesspoint y fortin analyzer (internet gratis para la gente) ” el cual queda con un saldo de $ 11.448.608
f) Se reduce $98.000 del concepto “Soporte directorio activo” el cual queda con un saldo de $ 6.902.000</t>
  </si>
  <si>
    <t>Circular No 8: Se reducen $300.000 de recursos Nación del concepto Contrato de prestación de servicios para fortalecer las capacidades, conocimientos y habilidades de los servidores públicos” el cual queda con un saldo de $5.700.000 y se aumentan al concepto “Contratar servicio de salud ocupacional y laboral” el cual queda con un saldo de $ 6.300.000
Circular No 10: 
1. Con el propósito de aumentar de recursos Nación $7.755.807 al concepto “Contrato de servicios de mantenimiento y reparación de infraestructura” el cual queda con un saldo de $ 103.252.551 se realizan las siguientes modificaciones: 
a) Se reduce $5.700.000 del concepto “Contrato de prestación de servicios para fortalecer las capacidades, conocimientos y habilidades de los servidores públicos el cual queda con un saldo de $ 0
b) Se reduce $57.404 del concepto “Contratar servicio de salud ocupacional y laboral” el cual queda con un saldo de $ 6.242.596
c) Se reduce $ 1.008.911 del concepto “Contrato de prestación de servicios técnicos de apoyo integral a la gestión y demás actividades dentro del proceso de Gestión Humana y su Plan Estratégico de Recursos Humanos” el cual queda con un saldo de $29.178.589
d) Se reduce $ 340.100 del concepto “Servicio de Streaming para la Emisora Virtual INCI Radio, del Instituto Nacional para Ciegos” el cual queda con un saldo de $1.159.900
e) Se reduce $551.392 del concepto “Adquisición accesspoint y fortin analyzer (internet gratis para la gente) ” el cual queda con un saldo de $ 11.448.608
f) Se reduce $98.000 del concepto “Soporte directorio activo” el cual queda con un saldo de $ 6.902.000</t>
  </si>
  <si>
    <t xml:space="preserve">Circular No 10: 2. Con el propósito de aumentar de recursos Propios 20 $  8.209.283 al concepto “Contrato de servicios de mantenimiento y reparación de infraestructura” el cual queda con un saldo de $45.701.707 se reduce de los siguientes conceptos: 
a) Se reduce $ 58.560 del concepto Contratación de servicios para el apoyo de gestión documental 1 el cual queda con un saldo de $22.000.000
b) Se reduce $ 58.560 del concepto Contratación de servicios para el apoyo de gestión documental 2 el cual queda con un saldo de $22.000.000
c) Se reduce $ 2.000.000 del concepto Adquisición Licenciamiento Suite Adobe el cual queda con un saldo $16.500.000
d) Se reduce $30.000 del concepto Mantenimiento servidor y actualización sistema telefónico IP - Elastix el cual queda con un saldo $ 6.970.000 
e) Se reduce $ 4.935.402 del concepto Adquisición de Antivirus el cual queda con un saldo de $ 2.002.840
f) Se reduce $ 1.001.288 del concepto Servicio de soporte, mantenimiento y actualizaciones del aplicativo WEBSAFI el cual queda con un saldo de $17.998.712
g) Se reduce $70.000 del concepto Servicio de mantenimiento MV y actualización SERVERCENTER el cual queda con un saldo de $ 6.930.000
h) Se reduce $ 55.474del concepto Servicio de mantenimiento y ajustes a IPv6 - Incluye permanencia en "LACNIC" el cual queda con un saldo $ 11.944.526
</t>
  </si>
  <si>
    <t xml:space="preserve">Circular No 3: Se modifica el nombre del concepto “Renovación y Adquisición Licenciamiento (Suite Adobe - Duxbury (software de braille)” por el siguiente: Adquisición Licenciamiento Suite Adobe. Así mismo, se le adicionan de recursos propios 20 $3.500.000 por lo cual queda con un saldo de $18.500.000, los cuales se reducen del concepto “Adquisición de licencias de firewall”, el cual queda con un saldo de $6.271.712 
Circular No 10: 2. Con el propósito de aumentar de recursos Propios 20 $  8.209.283 al concepto “Contrato de servicios de mantenimiento y reparación de infraestructura” el cual queda con un saldo de $45.701.707 se reduce de los siguientes conceptos: 
a) Se reduce $ 58.560 del concepto Contratación de servicios para el apoyo de gestión documental 1 el cual queda con un saldo de $22.000.000
b) Se reduce $ 58.560 del concepto Contratación de servicios para el apoyo de gestión documental 2 el cual queda con un saldo de $22.000.000
c) Se reduce $ 2.000.000 del concepto Adquisición Licenciamiento Suite Adobe el cual queda con un saldo $16.500.000
d) Se reduce $30.000 del concepto Mantenimiento servidor y actualización sistema telefónico IP - Elastix el cual queda con un saldo $ 6.970.000 
e) Se reduce $ 4.935.402 del concepto Adquisición de Antivirus el cual queda con un saldo de $ 2.002.840
f) Se reduce $ 1.001.288 del concepto Servicio de soporte, mantenimiento y actualizaciones del aplicativo WEBSAFI el cual queda con un saldo de $17.998.712
g) Se reduce $70.000 del concepto Servicio de mantenimiento MV y actualización SERVERCENTER el cual queda con un saldo de $ 6.930.000
h) Se reduce $ 55.474del concepto Servicio de mantenimiento y ajustes a IPv6 - Incluye permanencia en "LACNIC" el cual queda con un saldo $ 11.944.526
</t>
  </si>
  <si>
    <t xml:space="preserve">Circular No 5:  Se reducen de recursos propios 20 $ 7.000.000 del concepto “Adquisición de impresoras multifuncionales” y se crea el concepto por recursos propios 20 el concepto “Adquisición de Antivirus”; el cual tiene por recursos Nación $8.000.000 por lo cual queda con un saldo de $15.000.000
Circular No 8: 2. Se reducen $61.758 de recursos Propios del concepto “Adquisición de antivirus”, el cual queda con un saldo de $  6.938.242 y se crea por propios 20 el concepto “Servicio Internet - Canal principal” el cual queda con un saldo total de $3.820.812 ya que en Nación cuenta con $3.759.054
Circular No 10: 2. Con el propósito de aumentar de recursos Propios 20 $  8.209.283 al concepto “Contrato de servicios de mantenimiento y reparación de infraestructura” el cual queda con un saldo de $45.701.707 se reduce de los siguientes conceptos: 
a) Se reduce $ 58.560 del concepto Contratación de servicios para el apoyo de gestión documental 1 el cual queda con un saldo de $22.000.000
b) Se reduce $ 58.560 del concepto Contratación de servicios para el apoyo de gestión documental 2 el cual queda con un saldo de $22.000.000
c) Se reduce $ 2.000.000 del concepto Adquisición Licenciamiento Suite Adobe el cual queda con un saldo $16.500.000
d) Se reduce $30.000 del concepto Mantenimiento servidor y actualización sistema telefónico IP - Elastix el cual queda con un saldo $ 6.970.000 
e) Se reduce $ 4.935.402 del concepto Adquisición de Antivirus el cual queda con un saldo de $ 2.002.840
f) Se reduce $ 1.001.288 del concepto Servicio de soporte, mantenimiento y actualizaciones del aplicativo WEBSAFI el cual queda con un saldo de $17.998.712
g) Se reduce $70.000 del concepto Servicio de mantenimiento MV y actualización SERVERCENTER el cual queda con un saldo de $ 6.930.000
h) Se reduce $ 55.474del concepto Servicio de mantenimiento y ajustes a IPv6 - Incluye permanencia en "LACNIC" el cual queda con un saldo $ 11.944.526
</t>
  </si>
  <si>
    <t xml:space="preserve">Circular No 4:  Con el propósito de aumentar por recursos propios 20 $26.351. 328 al concepto “Contratacion de prestación de servicios para la adecuación infraestructura física”, el cual queda con un saldo de $37.492.424 se reduce de los siguientes conceptos: 
a)  Adquisición de equipos de seguridad y vigilancia: $7.000.000, de recursos propios 20, el cual queda con un saldo de $0 
b) Adquisición de equipos de cómputo y almacenamiento para renovación de la plataforma del INCI: $11.228.828, de recursos propios 20, el cual queda con un saldo de $0
c) Adquisición de Licencias Firewall: $8.122.400 , de recursos propios 20, el cual queda con un saldo de $0
2. Se reduce de recursos Nación $1.700.000 del concepto “Contratacion de prestación de servicios para la adecuación infraestructura física”, el cual queda con un saldo de $70.108.357 y se aumenta $1.700.000 de recursos Nación al concepto “Prestar servicios apoyo a la elaboración de estudios previos y  supervisión de la obra”, el cual queda con un saldo de $13.700.000
3. Se reduce de recursos Nación $2.388.387 del concepto “Servicio de internet- Canal principal, el cual queda con un saldo de $3.729.054 y se aumenta por recursos Nación al concepto “Contratacion de prestación de servicios para la adecuación infraestructura física”, el cual queda con un saldo de $72.496.744
Circular No 8: De acuerdo con la Resolución No 20191120002343 del 10 de septiembre de 2019, se reducen $23.000.000 de recursos Nación del concepto “Adquisición de licencias de suite de office para los equipos de cómputo del INCI” el cual queda con un saldo de $0 y se aumentan al concepto Contrato de servicios de mantenimiento y reparación de infraestructura el cual queda con un saldo de $95.496.744
Circular No 10: 
1. Con el propósito de aumentar de recursos Nación $7.755.807 al concepto “Contrato de servicios de mantenimiento y reparación de infraestructura” el cual queda con un saldo de $ 103.252.551 se realizan las siguientes modificaciones: 
a) Se reduce $5.700.000 del concepto “Contrato de prestación de servicios para fortalecer las capacidades, conocimientos y habilidades de los servidores públicos el cual queda con un saldo de $ 0
b) Se reduce $57.404 del concepto “Contratar servicio de salud ocupacional y laboral” el cual queda con un saldo de $ 6.242.596
c) Se reduce $ 1.008.911 del concepto “Contrato de prestación de servicios técnicos de apoyo integral a la gestión y demás actividades dentro del proceso de Gestión Humana y su Plan Estratégico de Recursos Humanos” el cual queda con un saldo de $29.178.589
d) Se reduce $ 340.100 del concepto “Servicio de Streaming para la Emisora Virtual INCI Radio, del Instituto Nacional para Ciegos” el cual queda con un saldo de $1.159.900
e) Se reduce $551.392 del concepto “Adquisición accesspoint y fortin analyzer (internet gratis para la gente) ” el cual queda con un saldo de $ 11.448.608
f) Se reduce $98.000 del concepto “Soporte directorio activo” el cual queda con un saldo de $ 6.902.000
Circular No 10: 2. Con el propósito de aumentar de recursos Propios 20 $  8.209.283 al concepto “Contrato de servicios de mantenimiento y reparación de infraestructura” el cual queda con un saldo de $45.701.707 se reduce de los siguientes conceptos: 
a) Se reduce $ 58.560 del concepto Contratación de servicios para el apoyo de gestión documental 1 el cual queda con un saldo de $22.000.000
b) Se reduce $ 58.560 del concepto Contratación de servicios para el apoyo de gestión documental 2 el cual queda con un saldo de $22.000.000
c) Se reduce $ 2.000.000 del concepto Adquisición Licenciamiento Suite Adobe el cual queda con un saldo $16.500.000
d) Se reduce $30.000 del concepto Mantenimiento servidor y actualización sistema telefónico IP - Elastix el cual queda con un saldo $ 6.970.000 
e) Se reduce $ 4.935.402 del concepto Adquisición de Antivirus el cual queda con un saldo de $ 2.002.840
f) Se reduce $ 1.001.288 del concepto Servicio de soporte, mantenimiento y actualizaciones del aplicativo WEBSAFI el cual queda con un saldo de $17.998.712
g) Se reduce $70.000 del concepto Servicio de mantenimiento MV y actualización SERVERCENTER el cual queda con un saldo de $ 6.930.000
h) Se reduce $ 55.474del concepto Servicio de mantenimiento y ajustes a IPv6 - Incluye permanencia en "LACNIC" el cual queda con un saldo $ 11.944.526
</t>
  </si>
  <si>
    <t xml:space="preserve">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t>
  </si>
  <si>
    <t xml:space="preserve">Circular No 3: Se reducen de recursos Nación $345.611 del concepto “Azúcar” el cual queda con un saldo de $554.389 y se aumentan al concepto “Productos el café”, el cual queda con un saldo de $3.145.611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t>
  </si>
  <si>
    <t xml:space="preserve">Circular No 3: Según la Resolución No 20191120000883 del 24 de abril de 2019 se reducen de recursos Nación $ 495.464 del concepto “Servicio de mantenimiento de edificios” el cual queda con un saldo de $1.480.091 y se aumentan al concepto “Jabón, preparados para limpieza, perfumes y preparados de tocador” el cual queda con un saldo de $ 1.495.464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t>
  </si>
  <si>
    <t xml:space="preserve">Circular No 10: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</si>
  <si>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 xml:space="preserve">Circular No 6: Se reducen de recursos nación $3.578.346 del concepto Servicio de instalación o mantenimiento o reparación de aires acondicionados el cual queda con un saldo de $0 y se aumentan al concepto “Dotación (prendas de vestir y calzado)”, el cual queda con un saldo de $15.903.995 
-Se reducen $1.421.654 de recursos propios 20 del concepto “Servicio de mantenimiento de ascensores” el cual queda con un saldo de $8.276.624 y se aumentan al concepto “Dotación (prendas de vestir y calzado)” el cual queda con un saldo de $2.843.005
Circular No 7: De acuerdo con la Resolución No 20191120001893 del 2 de agosto de 2019; se reduce de recursos Nación $4.626.000 del concepto “OTROS SERVICIOS DE ESPARCIMIENTO Y DIVERSIÓN” el cual queda con un saldo de $6.993.317 y se aumentan al concepto “DOTACIÓN” el cual queda con un saldo de $ 20.529.995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2. Se reducen de recursos Propios 20 $ 2.064.370 del concepto “DOTACIÓN (PRENDAS DE VESTIR Y CALZADO) el cual queda con un saldo de $778.635 y se aumentan al concepto “Servicios de mantenimiento de ascensores”, el cual queda con un saldo de $9.893.778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</si>
  <si>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 xml:space="preserve">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</si>
  <si>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 xml:space="preserve">Circular No 3 Según la Resolución No 20191120000883 del 24 de abril de 2019, se reducen de recursos propios 20 $4.794.425 de los conceptos “Servicios de saneamiento y similares $2.877.547 el cual queda con un saldo de $22.453 y del concepto “Servicios de lavado, limpieza y teñido” $1.916.878 el cual queda con un saldo de $83.122 para ser distribuido de la siguiente manera: 
a) Se crea por recursos propios 20 el concepto “Otros servicios auxiliares” por $4.376.427 
b) Se aumenta por recursos propios 20 $334.961 al concepto “Fibras textiles manufacturadas” el cual queda con un saldo de $494.961 
c) Se aumenta por recursos propios 20 $83.037 al concepto Vidrio y productos de vidrio el cual queda con un saldo de $233.037
Circular No 10: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</si>
  <si>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 xml:space="preserve">Circular No 3: Según la Resolución No 20191120000883 del 24 de abril de 2019, se reducen de recursos propios 20 $4.794.425 de los conceptos “Servicios de saneamiento y similares $2.877.547 el cual queda con un saldo de $22.453 y del concepto “Servicios de lavado, limpieza y teñido” $1.916.878 el cual queda con un saldo de $83.122 para ser distribuido de la siguiente manera: 
a) Se crea por recursos propios 20 el concepto “Otros servicios auxiliares” por $4.376.427 
b) Se aumenta por recursos propios 20 $334.961 al concepto “Fibras textiles manufacturadas” el cual queda con un saldo de $494.961 
Circular No 10: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</si>
  <si>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 xml:space="preserve">Circular No 3: Según la Resolución No 20191120000883 del 24 de abril de 2019 se reducen de recursos Nación del concepto “Servicio de mantenimiento de Edificios” $740.154 el cual queda con un saldo de $739.937 y se aumentan al concepto “Otros artículos manufacturados n.c.p.” el cual queda con un saldo de $1.040.154
Circular No 6: Se reducen $5.726.885 de recursos propios 20 del concepto “Pasta de papel, papel y cartón”, el cual queda con un saldo de $3.399.749  para distribuir en los siguientes conceptos:
a) Se crea por recursos propios 20 el concepto “Extractos tintóreos y curtientes; taninos y sus derivados; sustancias colorantes n.c.p.” por $4.532.764
b) Se crea por recursos propios 20 el concepto “Otros artículos manufacturados n.c.p.” por $1.194.121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</si>
  <si>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Circular No 6:Se reducen $3.500.000 de recursos propios 20 del concepto “Servicios de mantenimiento de ascensores” el cual queda con un saldo de $4.776.624 y se aumentan al concepto “Seguros” el cual queda con un saldo de $ 14.500.000.
-Se reducen $896.127 de recursos propios 20 del concepto “Servicios de mantenimiento y reparación de maquinaria y equipo de transporte” el cual queda con un saldo de $6.641.471 y se aumentan al concepto “Seguros” el cual queda con un saldo de $15.396.127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t>
  </si>
  <si>
    <t>Circular No 7: De acuerdo con la Resolución No 20191120001893 del 2 de agosto de 2019; se reduce de recursos Nación $4.626.000 del concepto “OTROS SERVICIOS DE ESPARCIMIENTO Y DIVERSIÓN” el cual queda con un saldo de $6.993.317 y se aumentan al concepto “DOTACIÓN” el cual queda con un saldo de $ 20.529.995 
Circular No 8: Se reducen $3.301.500 de recursos Nación del concepto ”Otros tipos de educación y servicios de apoyo educativo” el cual queda con un saldo de $0 y se aumentan al concepto “Otros Servicios De Esparcimiento y Diversión” el cual queda con un saldo de $ 10.294.817
Se reducen $ 927.065 de recursos Propios 20 del concepto ”Otros tipos de educación y servicios de apoyo educativo” el cual queda con un saldo de $0 y se aumentan al concepto “Otros Servicios De Esparcimiento y Diversión” el cual queda con un saldo de $ 14.947.567
Circular No 10: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t>
  </si>
  <si>
    <t>Circular No 10: 1. Se reducen de recursos Nación $232.846 del concepto “Caja menor - Gastos judiciales” el cual queda con un saldo de $317.154 y se crea por recursos Nación el concepto “Servicios de mantenimiento de ascensores” el cual queda con un saldo de $232.846</t>
  </si>
  <si>
    <t xml:space="preserve">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$4,829,770
j) Se reduce de recursos Nación $ 60 del concepto “Seguros” el cual queda con un saldo de $ 12.233.940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t>
  </si>
  <si>
    <t>15419-32219</t>
  </si>
  <si>
    <t>2219-32719</t>
  </si>
  <si>
    <t>MOR INDUSTRIES S.A.S</t>
  </si>
  <si>
    <t>095-2019</t>
  </si>
  <si>
    <t>06-11-2019</t>
  </si>
  <si>
    <t>51419</t>
  </si>
  <si>
    <t>13519-13619-13719-14319-18019-1831918819-19219-19319-19419-20119-20219-20319-20419-20619-20719-22819-23219-23319-23419-23519-24119-24019-24219-24319-24419-24519-24819-24919-25019-25119-25319-26219-29619-30219-30319-30419-30819-30919-31019-31119-31219-34119-35519-363119-47019-46919-48119-48219+48819-50019-50219-50319-50619--49819-49919-51119-51219-51319</t>
  </si>
  <si>
    <t>1/04/2019-2019-04-25-26-04-2019-07-05-2019-14-05-2019-16-05-2019-21-05-2019-23-05-2019-27-05-201929-05-2019-08-07-2019-15-07-2019-18-07-2019-2019-08-22-10-01-2019-09-10-2019-16-10-2019-28-10-2019-22-10-2019-30-10-2019-22-10-2019-05-11-2019</t>
  </si>
  <si>
    <t>RESOLUCIÓN
0643-0873-0893-0943-1003-0993-1033-1043-1053-1093-1083-1103-1113-1163-1173-1193-1183-1203-1223-1233-1243-1253-1303-1313-1293-1323-1373-1403-1473-1663-1673-1683-16993+1993+1843-0653-2713-2703-2853-2893-2883-2873-2863-2943-2953-2923-3003-2913-2933-3073-3083-3093</t>
  </si>
  <si>
    <t>096-2019</t>
  </si>
  <si>
    <t>MADERTEC LTDA</t>
  </si>
  <si>
    <t>Circular No 11: Se reduce de recursos propios 20 $7.000.000 del concepto Viáticos el cual queda con $8.710.545 y se aumenta al concepto "Evento para fortalecer las condiciones de actores públicos y privados para la inclusión de las personas con discapacidad visual (Eventos institucionales)" $7.000.000 el cual queda con un saldo de $ 24.119.672</t>
  </si>
  <si>
    <t>56111500
39121103
60103410
82121506
86141501</t>
  </si>
  <si>
    <t>Producción, acompañamiento y montaje de un set de exposición, cuyo tema es el bicentenario de Colombia, para las actividades culturales y educativas del centro cultural del INCI</t>
  </si>
  <si>
    <t>3219-33419</t>
  </si>
  <si>
    <t xml:space="preserve">Circular No 3: Se reducen de recursos Nación $3.000.000 del concepto “Adquisición de máquinas para la modernización de la imprenta”, el cual queda con un saldo de $ 97.328.962 y se crea el concepto por recursos Nación “Contratar el servicio de corte láser de material suministrado por la Imprenta Nacional para Ciegos” por $3.000.000
Se reducen de recursos Nación $65.000.000 del concepto “Adquisición de máquinas para la modernización de la imprenta”, el cual queda con un saldo de $32.328.962 y se aumentan al concepto “Adquisición de material didáctico especializado y ayudas técnicas para personas con discapacidad visual” el cual queda con un saldo de $210.000.000
 Circular No 6: Se reducen $ 12.427.783 de recursos Propios 20 del concepto “Contratación prestación de servicios de apoyo a la gestión para realizar revisión y control de calidad a los textos escritos en braille” el cual queda con un saldo de $0 y se crea por recursos propios 20 el concepto “Adquisición de máquinas para la modernización de la imprenta” el cual queda con un saldo de $12.427.783
- Con el propósito de aumentar $ 9.443.255 de recursos Nación al concepto “Adquisición de máquinas para la modernización de la imprenta”, el cual queda con un saldo de $41.772.217 se realizan las siguientes modificaciones: 
a) Se reducen de recursos Nación $3.000.000 del concepto” Contratar el servicio de corte láser de material suministrado por la Imprenta Nacional para Ciegos”, el cual queda con un saldo de $0
b) Se reducen de recursos Nación $546.440 del concepto “Contratación de servicios de apoyo a la gestión para la imprenta Nacional para Ciegos 1”, el cual queda con un saldo de $27.680.000
c) Se reducen de recursos Nación $546.440 del concepto “Contratación de servicios de apoyo a la gestión para la imprenta Nacional para Ciegos 2”, el cual queda con un saldo de $27.680.000
d) Se reducen de recursos Nación $1.425.556 del concepto “Contratación de prestación de servicios profesionales de diseño y corrección de estilo para la imprenta nacional para ciegos 1”, el cual queda con un saldo de $ 36.187.250
e) Se reducen de recursos Nación $1.100.000 del concepto “Caja menor - Materiales y suministro” el cual queda con un saldo de $0 
f) Se reducen de recursos Nación “Caja menor – Mantenimiento” $1.650.000 el cual queda con un saldo de $0
g) Se reducen de recursos Nación “Caja menor - Comunicaciones y transporte” $1.173.820 el cual queda con un saldo de $476.180
h) Se reducen de recursos Nación $999 del concepto “Adquisición de pliegos de papel para la producción de la Imprenta Nacional para Ciegos” el cual queda con un saldo de $249.999.001
Circular No 11: 2. Se reduce por recursos Nación $160.000.000 del concepto “Adquisición de pliegos de papel para la producción de la imprenta nacional para Ciegos” el cual queda con un saldo de $32.662.438 y se aumenta por recursos Nación $160.000.000 al concepto “Adquisición de máquinas para la modernización de la imprenta el cual queda con un saldo de $ 214.200.000 </t>
  </si>
  <si>
    <t xml:space="preserve">Circular No 6: Se reducen de recursos Nación $ 26.999.280 del concepto “Adquisición de pliegos de papel para la producción de la Imprenta Nacional para Ciegos” el cual queda con un saldo de $222.999.721 y se aumentan por recursos Nación $26.999.820 al concepto “Contratación de mantenimiento de máquinas y equipos de la imprenta Nacional para Ciegos” el cual queda con un saldo de $ 196.999.280
Circular No 9: Se reduce de recursos Nación $ 17.909.500 del concepto “Adquisición de pliegos de papel para la producción de la imprenta nacional para Ciegos”, el cual queda con un saldo de $205.090.221 y se crea el concepto “Adquisición de pliegos de cartulina bristol para la producción de tarjetas electorales para la Imprenta Nacional para Ciegos por $ 17.909.500 
Circular No 11: Circulr No 11: 2. Se reduce por recursos Nación $160.000.000 del concepto “Adquisición de pliegos de papel para la producción de la imprenta nacional para Ciegos” el cual queda con un saldo de $32.662.438 y se aumenta por recursos Nación $160.000.000 al concepto “Adquisición de máquinas para la modernización de la imprenta el cual queda con un saldo de $ 214.200.000 </t>
  </si>
  <si>
    <t>Adquisición de material para señalética (acrílicos y vinilos autoadhesivos)</t>
  </si>
  <si>
    <t>Diciembre</t>
  </si>
  <si>
    <t xml:space="preserve">Circular No 11: 4. Con el propósito de crear por $ 7.609.169 recursos propios 20 el concepto “Adquisición de material para señalética (acrílicos y vinilos autoadhesivos)” se realizan las siguientes modificaciones: 
a) Se reduce $1.689.169 del concepto “Contratación de prestación de servicios profesionales de diseño y corrección de estilo para la imprenta nacional para ciegos 2” el cual queda con un saldo de $0
b) Contratación de prestación de servicios profesionales para realizar la transcripción, diagramación e impresión de tarjetas electorales en la Imprenta Nacional para Ciegos, el cual queda con un saldo de $ 1.797.520
c) Contratación de servicios  de apoyo a la gestion  para revisar la calidad del braille, compaginar y apoyo en empaque en  la imprenta Nacional para Ciegos durante el periodo de impresión de tarjetas electorales, el cual queda con un saldo de $4.650.000
d) Contrato prestación de servicios disposición final desechos peligrosos Imprenta Nacional para Ciegos, el cual queda con un saldo de $0
</t>
  </si>
  <si>
    <t xml:space="preserve">Circular No 11: 3. Con el propósito de crear por $ 4.802.717 por recursos nación el concepto “Adquisición de material para señalética (acrílicos y vinilos autoadhesivos)” se realizan las siguientes modificaciones: 
a) Se reducen $1.717 del concepto Adquisición de insumos para la imprenta nacional para Ciegos el cual queda con un saldo de $ 29.998.283
b) Se reducen $4.800.000 del concepto “Contratación de servicios  de apoyo a la gestion  (10) para la imprenta Nacional para Ciegos (elecciones de alcalde)” el cual queda con un saldo de $ 13.006.800
c) Se reducen $1.000 del concepto “Contrato para la adquisición de planchas litográficas” el cual queda con un saldo de $2.499.000
4. Con el propósito de crear por $ 7.609.169 recursos propios 20 el concepto “Adquisición de material para señalética (acrílicos y vinilos autoadhesivos)” se realizan las siguientes modificaciones: 
a) Se reduce $1.689.169 del concepto “Contratación de prestación de servicios profesionales de diseño y corrección de estilo para la imprenta nacional para ciegos 2” el cual queda con un saldo de $0
b) Contratación de prestación de servicios profesionales para realizar la transcripción, diagramación e impresión de tarjetas electorales en la Imprenta Nacional para Ciegos, el cual queda con un saldo de $ 1.797.520
c) Contratación de servicios  de apoyo a la gestion  para revisar la calidad del braille, compaginar y apoyo en empaque en  la imprenta Nacional para Ciegos durante el periodo de impresión de tarjetas electorales, el cual queda con un saldo de $4.650.000
d) Contrato prestación de servicios disposición final desechos peligrosos Imprenta Nacional para Ciegos, el cual queda con un saldo de $0
</t>
  </si>
  <si>
    <t xml:space="preserve">Circular No 8: Se reducen $6.200.000 de recursos propios del concepto “Contratación de prestación de servicios profesionales de diseño y corrección de estilo para la imprenta nacional para ciegos 2” el cual queda con un saldo de $ 2.204.697 y se crea por recursos propios 20 el concepto “Contratación de servicios  de apoyo a la gestion  para revisar la calidad del braille, compaginar y apoyo en empaque en  la imprenta Nacional para Ciegos durante el periodo de impresión de tarjetas electorales” por valor de $6.200.000
4. Con el propósito de crear por $ 7.609.169 recursos propios 20 el concepto “Adquisición de material para señalética (acrílicos y vinilos autoadhesivos)” se realizan las siguientes modificaciones: 
a) Se reduce $1.689.169 del concepto “Contratación de prestación de servicios profesionales de diseño y corrección de estilo para la imprenta nacional para ciegos 2” el cual queda con un saldo de $0
b) Contratación de prestación de servicios profesionales para realizar la transcripción, diagramación e impresión de tarjetas electorales en la Imprenta Nacional para Ciegos, el cual queda con un saldo de $ 1.797.520
c) Contratación de servicios  de apoyo a la gestion  para revisar la calidad del braille, compaginar y apoyo en empaque en  la imprenta Nacional para Ciegos durante el periodo de impresión de tarjetas electorales, el cual queda con un saldo de $4.650.000
d) Contrato prestación de servicios disposición final desechos peligrosos Imprenta Nacional para Ciegos, el cual queda con un saldo de $0
</t>
  </si>
  <si>
    <t xml:space="preserve">Circular N 8: Se reducen de recursos Nación $2.402.480 del concepto “Contratación de prestación de servicios profesionales de diseño y corrección de estilo para la imprenta nacional para ciegos 2”, el cual queda con un saldo de $0 y se crea el concepto “Contratación de prestación de servicios profesionales para realizar la transcripción, diagramación e impresión de tarjetas electorales en la Imprenta Nacional para Ciegos” por un valor de $2.402.480 
6. Se reducen $4.167.520 de recursos propios 20 del concepto “Contratación de prestación de servicios profesionales de diseño y corrección de estilo para la imprenta nacional para ciegos 2” el cual queda con un saldo de $ 8.404.697 y se crea por recursos propios 20 el concepto “Contratación de prestación de servicios profesionales para realizar la transcripción, diagramación e impresión de tarjetas electorales en la Imprenta Nacional para Ciegos” por $4.167.520; el cual queda en total con $6.570.000 ya que en recursos Nación se creó con $2.402.480 
4. Con el propósito de crear por $ 7.609.169 recursos propios 20 el concepto “Adquisición de material para señalética (acrílicos y vinilos autoadhesivos)” se realizan las siguientes modificaciones: 
a) Se reduce $1.689.169 del concepto “Contratación de prestación de servicios profesionales de diseño y corrección de estilo para la imprenta nacional para ciegos 2” el cual queda con un saldo de $0
b) Contratación de prestación de servicios profesionales para realizar la transcripción, diagramación e impresión de tarjetas electorales en la Imprenta Nacional para Ciegos, el cual queda con un saldo de $ 1.797.520
c) Contratación de servicios  de apoyo a la gestion  para revisar la calidad del braille, compaginar y apoyo en empaque en  la imprenta Nacional para Ciegos durante el periodo de impresión de tarjetas electorales, el cual queda con un saldo de $4.650.000
d) Contrato prestación de servicios disposición final desechos peligrosos Imprenta Nacional para Ciegos, el cual queda con un saldo de $0
</t>
  </si>
  <si>
    <t xml:space="preserve">Circular No 3: Se reduce de recursos Propios 20 $12.427.783 del concepto “Contratación de prestación de servicios profesionales de diseño y corrección de estilo para la imprenta nacional para ciegos 2”, el cual queda con un saldo de $12.572.217 y se crea por recursos propios 20 por $ 12.427.783, el concepto “Contratación prestación de servicios de apoyo a la gestión para realizar revisión y control de calidad a los textos escritos en braille”. 
Circular No 8: 3. Se reducen $3.684.616 de recursos Nación del concepto “Contratación de prestación de servicios profesionales de diseño y corrección de estilo para la imprenta nacional para ciegos 2”, el cual queda con un saldo de $ 3.320.690 y se crea el concepto “Adquisición de equipos de transporte industrial para la organización, el almacenamiento y el traslado de materias primas, productos en proceso y materiales finalizados dentro de la Imprenta Nacional para Ciegos del INCI” por un valor de $3.684.616 
4. Se reducen $ 918.210 de recursos Nación del concepto “Contratación de prestación de servicios profesionales de diseño y corrección de estilo para la imprenta nacional para ciegos 2”, el cual queda con un saldo de $ 2.402.480 y se aumentan al concepto “Contratación de servicios  de apoyo a la gestion  (10) para la imprenta Nacional para Ciegos (elecciones de alcalde)” el cual queda con un saldo de $17.806.800 
5. Se reducen de recursos Nación $2.402.480 del concepto “Contratación de prestación de servicios profesionales de diseño y corrección de estilo para la imprenta nacional para ciegos 2”, el cual queda con un saldo de $0 y se crea el concepto “Contratación de prestación de servicios profesionales para realizar la transcripción, diagramación e impresión de tarjetas electorales en la Imprenta Nacional para Ciegos” por un valor de $2.402.480 
6. Se reducen $4.167.520 de recursos propios 20 del concepto “Contratación de prestación de servicios profesionales de diseño y corrección de estilo para la imprenta nacional para ciegos 2” el cual queda con un saldo de $ 8.404.697 y se crea por recursos propios 20 el concepto “Contratación de prestación de servicios profesionales para realizar la transcripción, diagramación e impresión de tarjetas electorales en la Imprenta Nacional para Ciegos” por $4.167.520; el cual queda en total con $6.570.000 ya que en recursos Nación se creó con $2.402.480 
7. Se reducen $6.200.000 de recursos propios del concepto “Contratación de prestación de servicios profesionales de diseño y corrección de estilo para la imprenta nacional para ciegos 2” el cual queda con un saldo de $ 2.204.697 y se crea por recursos propios 20 el concepto “Contratación de servicios  de apoyo a la gestion  para revisar la calidad del braille, compaginar y apoyo en empaque en  la imprenta Nacional para Ciegos durante el periodo de impresión de tarjetas electorales” por valor de $6.200.000
8. Se reducen $515.528 de recursos propios del concepto “Contratación de prestación de servicios profesionales de diseño y corrección de estilo para la imprenta nacional para ciegos 2”, el cual queda con un saldo de $ 1.689.169 y se crea por recursos propios 20 el concepto 
4. Con el propósito de crear por $ 7.609.169 recursos propios 20 el concepto “Adquisición de material para señalética (acrílicos y vinilos autoadhesivos)” se realizan las siguientes modificaciones: 
a) Se reduce $1.689.169 del concepto “Contratación de prestación de servicios profesionales de diseño y corrección de estilo para la imprenta nacional para ciegos 2” el cual queda con un saldo de $0
b) Contratación de prestación de servicios profesionales para realizar la transcripción, diagramación e impresión de tarjetas electorales en la Imprenta Nacional para Ciegos, el cual queda con un saldo de $ 1.797.520
c) Contratación de servicios  de apoyo a la gestion  para revisar la calidad del braille, compaginar y apoyo en empaque en  la imprenta Nacional para Ciegos durante el periodo de impresión de tarjetas electorales, el cual queda con un saldo de $4.650.000
d) Contrato prestación de servicios disposición final desechos peligrosos Imprenta Nacional para Ciegos, el cual queda con un saldo de $0
</t>
  </si>
  <si>
    <t>78102200</t>
  </si>
  <si>
    <t>Adquisición de ayuda audiovisual como apoyo a los procesos de comunicación</t>
  </si>
  <si>
    <t xml:space="preserve">Circular No 8: 2. Se reducen $12.000.000 de recursos Propios 20 del concepto “Servicios de telefonía y otras telecomunicaciones” el cual queda con un saldo de $ 5.052.386 y se aumentan $12.000.000 al concepto “Muebles, del tipo utilizado en oficinas” el cual queda con un saldo de $30.000.000 
Circular No 11: 1. Se reducen $11.626.400 de recursos propios 20 del concepto Mobiliario uso institucional   el cual queda con un saldo de $18.373.600 y se crea el concepto “Adquisición de ayuda audiovisual como apoyo a los procesos de comunicación”  por $11.626.400 </t>
  </si>
  <si>
    <t xml:space="preserve">1. Se reducen $11.626.400 de recursos propios 20 del concepto Mobiliario uso institucional   el cual queda con un saldo de $18.373.600 y se crea el concepto “Adquisición de ayuda audiovisual como apoyo a los procesos de comunicación”  por $11.626.400 </t>
  </si>
  <si>
    <t>7219-7319-7419+8219-9119-9719-9319-9819-10319-10619-10719-10819-10919-11019-11819-11919-11419-11519-11619-12119-12219-12319-12919-13019-13119-13419-13519-13619-13819-13319-15019-14219-14319-15019-16219-16319-16619-17219-17319-17419-17519-17619-18019-17919 18919-19019-20219-21119-21719-22419-22519+24019-24119-24219-24319-24419-24519+24619+24719-24819-24919-25019-25119-25219-25319+27219+27319+27719+28219-28819-29219-29619-30019-30119-30319-30419-30519-30619-30719-31019-31119-31219+31419-32019-32119-32419-32819-33619-34019-34119</t>
  </si>
  <si>
    <t>099-2019</t>
  </si>
  <si>
    <t>NEX COMPUTER</t>
  </si>
  <si>
    <t>8519-10419-11219-13219-15219-15319-18519-19319-34819-34919</t>
  </si>
  <si>
    <t>100-2019</t>
  </si>
  <si>
    <t xml:space="preserve">45111802
52161505
</t>
  </si>
  <si>
    <t>ANTONIO BEGANCOURT</t>
  </si>
  <si>
    <t>Servicio de mantenimiento defectos leves, graves y muy graves hallados en la visita de inspección de certificación de ascensores</t>
  </si>
  <si>
    <t>Circular No 2: Por recursos propios 20, se reducen $15.198.278 del concepto “Mantenimiento y reparación de otra maquinaria y otro equipo” para crear Servicios de mantenimiento de ascensores por $9.698.278
Circular No 6: Se reducen $1.421.654 de recursos propios 20 del concepto “Servicio de mantenimiento de ascensores” el cual queda con un saldo de $8.276.624 y se aumentan al concepto “Dotación (prendas de vestir y calzado)” el cual queda con un saldo de $2.843.005.
-Se reducen $3.500.000 de recursos propios 20 del concepto “Servicios de mantenimiento de ascensores” el cual queda con un saldo de $4.776.624 y se aumentan al concepto “Seguros” el cual queda con un saldo de $ 14.500.000
Circular No 10: 1. Se reducen de recursos Nación $232.846 del concepto “Caja menor - Gastos judiciales” el cual queda con un saldo de $317.154 y se crea por recursos el concepto “Servicios de mantenimiento de ascensores” el cual queda con un saldo de $232.846
Circular No 10: 4. Con el propósito de aumentar por recursos propios 20 $ 3.052.784 al concepto “Servicios de mantenimiento de ascensores” el cual queda con un saldo de $7.829.408 se realizan las siguientes modificaciones: 
a) Se reducen de recursos Propios 20 $ 10.000 del concepto “Otros servicios auxiliares” el cual queda con un saldo de $4.366.427 
b) Se reducen por recursos propios 20 $ 208.040 del concepto Servicios de investigación y seguridad” el cual queda con un saldo de $491.960
c) Se reducen por recursos propios 20 $ 2.834.744 del concepto Servicios de mantenimiento y reparación de computadores y equipo periférico” el cual queda con un saldo de $1.826.462
2. Se reducen de recursos Propios 20 $ 2.064.370 del concepto “DOTACIÓN (PRENDAS DE VESTIR Y CALZADO) el cual queda con un saldo de $778.635 y se aumentan al concepto “Servicios de mantenimiento de ascensores”, el cual queda con un saldo de $9.893.778
Circular No 11: Se reduce del concepto "Servicios de mantenimiento de ascensores"  $6.117.778 de recursos propios  y $232.846 de recursos Nación y se crea el concpeto "Servicio de mantenimiento defectos leves, graves y muy graves hallados en la visita de inspección de certificación de ascensores"por $6.117.778 por recursos propios y por recursos Nación $ 232.846</t>
  </si>
  <si>
    <t>Circular No 2: Por recursos propios 20, se reducen $15.198.278 del concepto “Mantenimiento y reparación de otra maquinaria y otro equipo” para crear Servicios de mantenimiento de ascensores por $9.698.278
Circular No 6: Se reducen $1.421.654 de recursos propios 20 del concepto “Servicio de mantenimiento de ascensores” el cual queda con un saldo de $8.276.624 y se aumentan al concepto “Dotación (prendas de vestir y calzado)” el cual queda con un saldo de $2.843.005.
-Se reducen $3.500.000 de recursos propios 20 del concepto “Servicios de mantenimiento de ascensores” el cual queda con un saldo de $4.776.624 y se aumentan al concepto “Seguros” el cual queda con un saldo de $ 14.500.000
Circular No 10: 1. Se reducen de recursos Nación $232.846 del concepto “Caja menor - Gastos judiciales” el cual queda con un saldo de $317.154 y se crea por recursos el concepto “Servicios de mantenimiento de ascensores” el cual queda con un saldo de $232.846
Circular No 10: 4. Con el propósito de aumentar por recursos propios 20 $ 3.052.784 al concepto “Servicios de mantenimiento de ascensores” el cual queda con un saldo de $7.829.408 se realizan las siguientes modificaciones: 
a) Se reducen de recursos Propios 20 $ 10.000 del concepto “Otros servicios auxiliares” el cual queda con un saldo de $4.366.427 
b) Se reducen por recursos propios 20 $ 208.040 del concepto Servicios de investigación y seguridad” el cual queda con un saldo de $491.960
c) Se reducen por recursos propios 20 $ 2.834.744 del concepto Servicios de mantenimiento y reparación de computadores y equipo periférico” el cual queda con un saldo de $1.826.462
2. Se reducen de recursos Propios 20 $ 2.064.370 del concepto “DOTACIÓN (PRENDAS DE VESTIR Y CALZADO) el cual queda con un saldo de $778.635 y se aumentan al concepto “Servicios de mantenimiento de ascensores”, el cual queda con un saldo de $9.893.778
saldo de $9.893.778
Circular No 11: Se reduce del concepto "Servicios de mantenimiento de ascensores"  $6.117.778 de recursos propios  y $232.846 de recursos Nación y se crea el concpeto "Servicio de mantenimiento defectos leves, graves y muy graves hallados en la visita de inspección de certificación de ascensores"por $6.117.778 por recursos propios y por recursos Nación $ 232.846</t>
  </si>
  <si>
    <t>55121734</t>
  </si>
  <si>
    <t>51819-53619</t>
  </si>
  <si>
    <t>7/11/2019-21-11-2019</t>
  </si>
  <si>
    <t>2019-11-22</t>
  </si>
  <si>
    <t>SOCIEDAD CAMERAL DE CERTIFICACION DIGITAL CERTICAMARA S A</t>
  </si>
  <si>
    <t>101-2019</t>
  </si>
  <si>
    <t>2719-53819</t>
  </si>
  <si>
    <t>25/01/2019-2019-11-22</t>
  </si>
  <si>
    <t>52619</t>
  </si>
  <si>
    <t>2019-11-14</t>
  </si>
  <si>
    <t>MONGE SALAMANCA CARLOS EDUARDO
MULTISUMINISTROS E U</t>
  </si>
  <si>
    <t>097-2019-098-2019</t>
  </si>
  <si>
    <t>19/11/2019
27-11-2019</t>
  </si>
  <si>
    <t>533119-54319</t>
  </si>
  <si>
    <t>02 02 01 004 07</t>
  </si>
  <si>
    <t>21519-33819</t>
  </si>
  <si>
    <t>17819-52519</t>
  </si>
  <si>
    <t>24/04/2019
13-11-2019</t>
  </si>
  <si>
    <t>Circular No 2: Por recursos propios 20, se reducen $15.198.278 del concepto “Mantenimiento y reparación de otra maquinaria y otro equipo” para crear Servicio de mantenimiento o reparación de equipos y sistemas de protección contra incendios (extintores) por $4.000.000
Circular No 11: 3. Según la Resolución No 20191120003373 del 27 de noviembre de 2019 se reduce $1.664.042 de recursos propios 20 del concepto “Servicio de mantenimiento o reparación de equipos y sistemas de protección contra incendios (extintores), el cual queda con un saldo de $2.335.958 y se aumentan al concepto “Contrato de servicios de mantenimiento y reparación de infraestructura”, el cual queda con un saldo de $48.422.371</t>
  </si>
  <si>
    <t>Circular No 5: De acuerdo con la Resolución No 20191120001283 del 5 de junio de 2019, se hacen las siguientes modificaciones: 
1. Se reducen $5.000.000 del concepto “Servicios de mantenimiento y reparación de otra maquinaria y otro equipo” el cual queda con un saldo de $644.000  y se crea por recursos Nación el concepto “Contratacion de prestación de servicios para la adecuación infraestructura física”, el cual queda con un saldo de $5.000.000. Dado que cuenta con $31.519.860 por recursos propios en total el saldo es de $ 36.519.860
Circular No 6: 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Circular No 6: Con el objeto de aumentar $12.125.966 de recursos propios 20 al concepto “Contrato de servicios de mantenimiento y reparación de infraestructura” el cual queda con un saldo de $43.645.826 se hacen las siguientes reducciones: 
a) Se reducen $2.641.471 de recursos propios 20 del concepto “Servicios de mantenimiento y reparación de maquinaria y equipo de transporte” el cual queda con un saldo de $4.000.000
b) Se reducen $2.500.000 de recursos propios 20 del concepto “Servicios de mantenimiento y reparación de otros bienes n.c.p.” el cual queda con un saldo de $ 0
c) Se reducen $6.874.495 de recursos propios 20 del concepto “Contratación de servicios para el apoyo del área Financiera” el cual queda con un saldo de $17.462.597
d) Se reducen $110.000 de recursos propios 20 del concepto “Contrato de prestación de servicios como apoyo a la oficina de control interno” el cual queda con un saldo de 32.890.000
Circular No 10: 1. Con el propósito de aumentar por recursos Nación $ 3.836.261 al concepto “Contrato de servicios de mantenimiento y reparación de infraestructura” el cual queda con un saldo de $8.836.261 se realizan las siguientes modificaciones: 
a) Se reduce de recursos Nación $ 340.610 del concepto “Caja menor - Productos de cafetería y restaurante” el cual queda con un saldo de $ 319.390
b) Se reduce de recursos Nación $297.844  del concepto “Azúcar” el cual queda con un saldo de $ 256.545
c) Se reduce de recursos nación $ 608.636 del concepto “Dotación (prendas de vestir y calzado) el cual queda con un saldo de $ 19.921.359
d) Se reduce de recursos Nación $ 883.076 del concepto Caja menor - Papelería, útiles de escritorio y oficina el cual queda con un saldo de $ 909.924
e) Se reduce de recursos Nación $200.000 del concepto “ Semimanufacturas de plástico” el cual queda con un saldo de $ 0
f) Se reduce de recursos Nación $10.001 del concepto “Jabón, preparados para limpieza, perfumes y preparados de tocador” el cual queda con un saldo de $ 1.485.463
g) Se reduce de recursos Nación $10.000 del concepto “Otros artículos manufacturados n.c.p.” el cual queda con un saldo de $ 1.030.154
h) Se reduce de recursos Nación $934.300 del concepto “ Caja menor – Transporte” el cual queda con un saldo de $1.815.700                     
i) Se reduce de recursos Nación $551.734 del concepto “ Servicios de distribución de agua (por cuenta propia)” el cual queda con un saldo de $ 5.381.504
j) Se reduce de recursos Nación $ 60 del concepto “Seguros” el cual queda con un saldo de $ 12.233.940
3. Con el propósito de aumentar por recursos propios 20 $ 3.112.503 al concepto “Contrato de servicios de mantenimiento y reparación de infraestructura” el cual queda con un saldo de $ 46.758.329  se hacen las siguientes modificaciones: 
a) Se reduce de recursos propios 20 $ 110.814 del concepto “Plantas aromáticas, bebestibles y especias” el cual queda con un saldo de $ 139.186
b) Se reduce de recursos propios 20 $778.635 “DOTACIÓN (PRENDAS DE VESTIR Y CALZADO)” el cual queda con un saldo de $ 0
c) Se reduce de recursos propios 20 $ 70.000 del concepto “Semimanufacturas de plástico” el cual queda con un saldo de $ 0
d) Se reduce de recursos propios 20 $ 250.000 del concepto “Productos de empaque y envasado, de plástico” el cual queda con un saldo de $ 0
e) Se reduce de recursos propios 20 $10.000 del concepto “Vidrio y productos de vidrio” el cual queda con un saldo de $ 223.037
f) Se reduce de recursos propios 20 $ 10.000 del concepto “Fibras textiles manufacturadas” el cual queda con un saldo de $ 484.961
g) Se reduce de recursos propios 20 $ 257.132 del concepto “Otros productos plásticos” el cual queda con un saldo de $ 272.868
h) Se reduce de recursos propios 20 $ 1.664 del concepto “Otros artículos manufacturados n.c.p.” el cual queda con un saldo de $ 1.192.457
i) Se reduce de recursos propios 20 $ 51.130 del concepto “Token” el cual queda con un saldo de $ 2.686.044
j) Se reduce de recursos propios 20 $ 312.219 del concepto “Servicios de distribución de agua (por cuenta propia)” el cual queda con un saldo de $ 0
k) Se reduce de recursos propios 20 $ 1.118.473 del concepto “Servicios de distribución de electricidad, y servicios de distribución de gas (por cuenta propia)” el cual queda con un saldo de $ 6.300.421
l) Se reduce de recursos propios 20 $ 58.672 del concepto “Seguros” el cual queda con un saldo de $ 15.337.455
m) Se reduce de recursos propios 20 $83.122 Servicios de lavado, limpieza y teñido el cual queda con un saldo de $ 0
n) Se reduce de recursos propios 20 $ 642 del concepto “OTROS SERVICIOS DE ESPARCIMIENTO Y DIVERSIÓN” el cual queda con un saldo de $ 14.946.925
Circular No 11: 3. Según la Resolución No 20191120003373 del 27 de noviembre de 2019 se reduce $1.664.042 de recursos propios 20 del concepto “Servicio de mantenimiento o reparación de equipos y sistemas de protección contra incendios (extintores), el cual queda con un saldo de $2.335.958 y se aumentan al concepto “Contrato de servicios de mantenimiento y reparación de infraestructura”, el cual queda con un saldo de $48.422.371</t>
  </si>
  <si>
    <t>4719-15419-32219-35419</t>
  </si>
  <si>
    <t>10119-34319-51019-55119</t>
  </si>
  <si>
    <t>11/03/2019-30-07-2019-31-10-2019-2911-2019</t>
  </si>
  <si>
    <t>6019-7219-7319-7419-8219-9119-9719-9319-9819-10319-10619-10719-10819-10919-11019-11819-11919+11419-11519-12119-12219-12319-12919-13019-13119-13419-13519-13619-13819-13319-15019-14219-14319-14619-15019-16219-16319-16619-17219-17319-17419-17519-17619-18019+17919-18919-19019-20219-21119-21719+22419-22519-24019-24119-24219-24319-24419-24519+24619+24719-24819-24919-25019-25119-25219-25319-27219+27319-27719+28219-28319-28819-29219-30019-30119-30319-30419-30519-30619-30719-31019-31119-31219+31419-32019-32119-32419-32819-33619-34019-34119-34419-34519-35719</t>
  </si>
  <si>
    <t>14719-19819-20919-21019-22219-23619-23719-23819-23919-27519-27619-28519-28619-32519-32619-35519-35619</t>
  </si>
  <si>
    <t>19919-19819-20919-21019-23619-23719-23819-23919-27519-27619-28519-28619-32519-32619-35519-35619</t>
  </si>
  <si>
    <t>19419-35919</t>
  </si>
  <si>
    <t>45101500
42211702</t>
  </si>
  <si>
    <t>FACTURAS
12370359//12370391-38250863214//38250863115//14913634//14913666-19393696/19393728-1144320783/1144320782//26024926</t>
  </si>
  <si>
    <t xml:space="preserve">Circular No 6: Con el propósito de crear el concepto por recursos propios 20 “Contratación de prestación de servicios para el diseño, producción y montaje de tres exposiciones temporales para conmemorar el bicentenario” por $28.859.336, se reduce por recursos propios 20 de los siguientes conceptos: 
a) Contratación elaboración de las colecciones de la sensoroteca $20.000.000 el cual queda con un saldo de $0
b) Contratación de suministro de elementos para el diseño y montaje de las exposiciones temporales $  8.859.336 el cual queda con un saldo de $0
Circular No 9: Se reducen de recursos Propios 20 $2.115.756 del concepto “Contratación de prestación de servicios para el diseño, producción y montaje de tres exposiciones temporales para conmemorar el bicentenario” el cual queda con un saldo de $26.743.580  y se crea el concepto  por recursos propios 20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$2.115.756
Circular No 11: 5. Se reducen $ 2.500.000 de recursos propios 20 del concepto “Producción, acompañamiento y montaje de un set de exposición, cuyo tema es el bicentenario de Colombia, para las actividades culturales y educativas del centro cultural del INCI”, el cual queda con un saldo de $ 24.243.580  y se crea por recursos propios 20 el concepto “Contratación 472” por $2.500.000
6. Con el propósito de crear por recursos propios 20 el concepto “Adquisición de material didáctico especializado y ayudas técnicas para personas con discapacidad visual”, por $13.834.063 se reduce $1.520.090 del concepto “Producción, acompañamiento y montaje de un set de exposición, cuyo tema es el bicentenario de Colombia, para las actividades culturales y educativas del centro cultural del INCI”, el cual queda con un saldo de $22.723.490
</t>
  </si>
  <si>
    <t xml:space="preserve">Circular No 7: Se reducen $20.000.000 de recursos propios 20 del concepto “Software para administración de la biblioteca” para crear o aumentar a los siguientes conceptos: 
a) Se crea por $ 5.000.000 por recursos propios 20 el concepto ”Contratación de prestación de servicios para espacio de capacitación elaboración documentos accesibles formato  EPUB  a servidores públicos del INCI”
b) Se crea por $ 6.594.554 por recursos propios 20 el concepto “Contratación de prestación de servicios para actividades de producción de libros especializados en formato EPUB (1)”
c) Se aumentan $ 4.200.000 de recursos propios al concepto “Tiquetes aéreos”, el cual queda con un saldo de $9.000.006
d) Se aumentan $ 3.605.446 al concepto “Viaticos”, el cual queda con un saldo de $7.047.493
e) Se aumentan $ 600.000 al concepto “Tiquetes Terrestres” el cual queda con un saldo de $ 1.020.000
Circular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t>
  </si>
  <si>
    <t xml:space="preserve">Circular No 7: 2. Se reducen $20.000.000 de recursos propios 20 del concepto “Software para administración de la biblioteca” para crear o aumentar a los siguientes conceptos: 
a) Se crea por $ 5.000.000 por recursos propios 20 el concepto ”Contratación de prestación de servicios para espacio de capacitación elaboración documentos accesibles formato  EPUB  a servidores públicos del INCI”
b) Se crea por $ 6.594.554 por recursos propios 20 el concepto “Contratación de prestación de servicios para actividades de producción de libros especializados en formato EPUB (1)”
c) Se aumentan $ 4.200.000 de recursos propios al concepto “Tiquetes aéreos”, el cual queda con un saldo de $9.000.006
d) Se aumentan $ 3.605.446 al concepto “Viaticos”, el cual queda con un saldo de $7.047.493
e) Se aumentan $ 600.000 al concepto “Tiquetes Terrestres” el cual queda con un saldo de $ 1.020.000
Circular No (: 11.  Con el objeto de aumentar $ 395.475 al concepto Tiquetes terrestres (centro cultural), el cual queda con un saldo de $1.415.475 se realizan las siguientes modificaciones: 
a) Se reducen $218.220 del concepto “Contratar prestación de servicio para actividades de estructuración  y catalogación de textos 2” el cual queda con un saldo de $20.244.220
b) Se reducen $177.255 del concepto “Contratar prestación de servicio para actividades de estructuración  y catalogación de textos 1”, el cual queda con un saldo $20.244.220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t>
  </si>
  <si>
    <t xml:space="preserve">Circular No 7: 2. Se reducen $20.000.000 de recursos propios 20 del concepto “Software para administración de la biblioteca” para crear o aumentar a los siguientes conceptos: 
a) Se crea por $ 5.000.000 por recursos propios 20 el concepto ”Contratación de prestación de servicios para espacio de capacitación elaboración documentos accesibles formato  EPUB  a servidores públicos del INCI”
b) Se crea por $ 6.594.554 por recursos propios 20 el concepto “Contratación de prestación de servicios para actividades de producción de libros especializados en formato EPUB (1)”
c) Se aumentan $ 4.200.000 de recursos propios al concepto “Tiquetes aéreos”, el cual queda con un saldo de $9.000.006
d) Se aumentan $ 3.605.446 al concepto “Viaticos”, el cual queda con un saldo de $7.047.493
e) Se aumentan $ 600.000 al concepto “Tiquetes Terrestres” el cual queda con un saldo de $ 1.020.000
Circular No 8:10. Con el objeto de aumentar $2.000.000 por recursos propios 20 al concepto viáticos se realizan las siguientes modificaciones: 
a) Se reducen $945.000 del concepto “Contratacion prestación de servicios para el acceso a la cultura de las PDV”, el cual queda con un saldo de $ $30.240.000
b) Se reducen $636.610 del concepto “Contratar prestación de servicio para actividades de estructuración  y catalogación de textos 3”, el cual queda con un saldo de $20.244.220
c) Se reducen $418.930 del concepto “Contratar prestación de servicio para actividades de estructuración  y catalogación de textos 2” el cual queda con un saldo de $20.462.440
Circualr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t>
  </si>
  <si>
    <t xml:space="preserve">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Circular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e) Se reduce $5.000.000 del concepto “Contratación de prestación de servicios para espacio de capacitación elaboración documentos accesibles formato  EPUB  a servidores públicos del INCI$ el cual queda con un saldo de $0
f) Se reduce $2.000.000 del concepto “Pago de derechos concesión frecuencia FM”, el cual queda con un saldo de $0
</t>
  </si>
  <si>
    <t>Circular No 8: . Se reducen $515.528 de recursos propios del concepto “Contratación de prestación de servicios profesionales de diseño y corrección de estilo para la imprenta nacional para ciegos 2”, el cual queda con un saldo de $ 1.689.169 y se crea por recursos propios 20 el concepto “Adquisición de insumos para la imprenta nacional para Ciegos” el cual queda con un saldo de $515.528 y en total $30.515.528 dado que tenía en recursos Nación $30.000.000 
Circular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e) Se reduce $5.000.000 del concepto “Contratación de prestación de servicios para espacio de capacitación elaboración documentos accesibles formato  EPUB  a servidores públicos del INCI$ el cual queda con un saldo de $0
f) Se reduce $2.000.000 del concepto “Pago de derechos concesión frecuencia FM”, el cual queda con un saldo de $0
g) Se reduce $155.840 del concepto “Adquisición de insumos para la imprenta nacional para Ciegos”, el cual queda con un saldo de $359.688</t>
  </si>
  <si>
    <t xml:space="preserve">Circular No 7: 1. Se reducen $53.405.446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Para crear este concepto
Circualr No 11: 7. Con el propósito de aumentar $2.008.428 por recursos Nación al concepto “Adquisición de material didáctico especializado y ayudas técnicas para personas con discapacidad visual”, el cual queda con un saldo de $212.008.428 se reduce de los siguientes conceptos: 
a) Se reducen $ 1.902.312 del concepto “Contratación de prestación de servicios para actividades de producción de libros especializados en formato EPUB (2)”, el cual queda con un saldo de  $8.097.688
</t>
  </si>
  <si>
    <t xml:space="preserve">Circular No 7: 1. Se reducen $52,946,091 de recursos Nación de los siguientes conceptos: 
a) Se reduce de recursos Nación $7.721.757 del concepto “Contratación de servicios profesionales para realizar la locución de audio descripción”, el cual queda con un saldo de $0 
b) Se reduce de recursos Nación  $ 7.492.176 del concepto “Prestar servicios como intérprete de señas para los videos elaborados en el centro audiovisual del Instituto Nacional para Ciegos en el marco de los derechos de la población con discapacidad” el cual queda con un saldo de $0 
c) Se reduce de recursos Nación $1.000.000 del concepto “Pago de derechos concesión frecuencia FM el cual queda con un saldo de $0 
d) Se reducen $ 1.988.571 de recursos Nación del concepto “4x1000 Mejoramiento de la Calidad, cobertura y sostenibilidad de la dotación de material”. el cual queda con un saldo de $0 
e) Se reduce de recursos Nación $459.355 del concepto “Desarrollo de proyecto sensoroteca, sonoroteca, proyecto centro cultural y sala de exposiciones para garantizar el derecho de acceso a la cultura de las personas con discapacidad visual que sirva de referente a otras entidades en el tema de accesibilidad” el cual queda con un saldo de $69.540.645
f) Se reduce de recursos Nación $1.800.000 del concepto “Prestar servicios tecnólogos y de apoyo a la gestión para producción de contenidos web y radiales de INCI Radio para el cubrimiento regional de actividades deportivas” el cual queda con un saldo de $0 
g) Se reduce $32.484.232 de recursos Nación del concepto “Contratación de prestación de servicios profesionales para administrar la biblioteca virtual para ciegos” el cual queda con un saldo de $0 
Para crear este concepto
Circular No 11: 7. Con el propósito de aumentar $2.008.428 por recursos Nación al concepto “Adquisición de material didáctico especializado y ayudas técnicas para personas con discapacidad visual”, el cual queda con un saldo de $212.008.428 se reduce de los siguientes conceptos: 
a) Se reducen $ 1.902.312 del concepto “Contratación de prestación de servicios para actividades de producción de libros especializados en formato EPUB (2)”, el cual queda con un saldo de  $8.097.688
</t>
  </si>
  <si>
    <t xml:space="preserve">Circular No 8: 3. Se reducen $3.684.616 de recursos Nación del concepto “Contratación de prestación de servicios profesionales de diseño y corrección de estilo para la imprenta nacional para ciegos 2”, el cual queda con un saldo de $ 3.320.690 y se crea el concepto “Adquisición de equipos de transporte industrial para la organización, el almacenamiento y el traslado de materias primas, productos en proceso y materiales finalizados dentro de la Imprenta Nacional para Ciegos del INCI” por un valor de $3.684.616 
Circular No 11: 7. Con el propósito de aumentar $2.008.428 por recursos Nación al concepto “Adquisición de material didáctico especializado y ayudas técnicas para personas con discapacidad visual”, el cual queda con un saldo de $212.008.428 se reduce de los siguientes conceptos: 
a) Se reducen $ 1.902.312 del concepto “Contratación de prestación de servicios para actividades de producción de libros especializados en formato EPUB (2)”, el cual queda con un saldo de  $8.097.688
b) Se reducen $88.600 del concepto “Contratación de prestación de servicios para actividades de producción de libros especializados en formato EPUB (6)” el cual queda con un saldo de $9.911.400
c) Se reducen $17.516 del concepto “Adquisición de equipos de transporte industrial para la organización, el almacenamiento y el traslado de materias primas, productos en proceso y materiales finalizados dentro de la Imprenta Nacional para Ciegos del INCI el cual queda con un saldo de $3.667.100
     </t>
  </si>
  <si>
    <t xml:space="preserve">Circular No 3: Se reducen de recursos Nación $65.000.000 del concepto “Adquisición de máquinas para la modernización de la imprenta”, el cual queda con un saldo de $32.328.962 y se aumentan al concepto “Adquisición de material didáctico especializado y ayudas técnicas para personas con discapacidad visual” el cual queda con un saldo de $210.000.000
Circular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e) Se reduce $5.000.000 del concepto “Contratación de prestación de servicios para espacio de capacitación elaboración documentos accesibles formato  EPUB  a servidores públicos del INCI$ el cual queda con un saldo de $0
f) Se reduce $2.000.000 del concepto “Pago de derechos concesión frecuencia FM”, el cual queda con un saldo de $0
g) Se reduce $155.840 del concepto “Adquisición de insumos para la imprenta nacional para Ciegos”, el cual queda con un saldo de $30.357.971
Circular No 11: 
7. Con el propósito de aumentar $2.008.428 por recursos Nación al concepto “Adquisición de material didáctico especializado y ayudas técnicas para personas con discapacidad visual”, se reduce de los siguientes conceptos: 
a) Se reducen $ 1.902.312 del concepto “Contratación de prestación de servicios para actividades de producción de libros especializados en formato EPUB (2)”, el cual queda con un saldo de  $8.097.688
b) Se reducen $88.600 del concepto “Contratación de prestación de servicios para actividades de producción de libros especializados en formato EPUB (6)” el cual queda con un saldo de $9.911.400
c) Se reducen $17.516 del concepto “Adquisición de equipos de transporte industrial para la organización, el almacenamiento y el traslado de materias primas, productos en proceso y materiales finalizados dentro de la Imprenta Nacional para Ciegos del INCI el cual queda con un saldo de $3.667.100
Circular No 11: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$55.785.989
d) Se reducen $ 840.000 del concepto “Tiquete terrestre regiones (Empleabilidad)” el cual queda con un saldo de $60.000
e) Se reducen $ 6.400.000 del concepto “Tiquetes aéreos (Empleabilidad)” el cual queda con un saldo de $ 0
f) Se reducen $ 7.505.990 del concepto “Viáticos (Empleabilidad)” el cual queda con un saldo de $1.204.555
g) Se reducen $44.000 del concepto Tiquete terrestre regiones (Organizaciones), el cual queda con un saldo de $1.306.000
h) Se reducen $500.000 del concepto Tiquetes aéreos (Organizaciones) el cual queda con un saldo de $3.500.000
i) Se reducen $34.332 del concepto “Viáticos (Organizaciones)” el cual queda con un saldo de $5.978.252
</t>
  </si>
  <si>
    <t xml:space="preserve">Circular No 6: Se reducen $1.681.078 de recursos propios 20 del concepto “Evento para fortalecer las condiciones de actores públicos y privados para la inclusión de las personas con discapacidad visual (Educación)”, el cual queda con un saldo de $0 y se aumentan al concepto “Tiquetes terrestres” el cual queda con un saldo de $6.161.078
Circular No 8: 1. Se reducen $400.000 de recursos propios 20 del concepto “Evento para fortalecer las condiciones de actores públicos y privados para la inclusión de las personas con discapacidad visual” el cual queda con un saldo de $8.200.000 y se aumentan al concepto tiquetes terrestres (Educación) el cual queda con un saldo de $6.561.078
Circular No 10: Se reducen de recursos propios 20 $500.000 del concepto tiquetes terrestres (Empleabilidad), el cual queda con un saldo de  $900.000 y se aumentan a tiquetes terrestres (Educación) el cual queda con un saldo de  $7.061.078
Circular No 11: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t>
  </si>
  <si>
    <t xml:space="preserve">Circular No 3: Se reduce por recursos propios 20 $9.600.000 del concepto “Tiquetes aéreos”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 al concepto “Tiquetes aéreos” de la meta “Brindar asistencia técnica en educación a las entidades territoriales certificadas para  el mejoramiento de los procesos de atención de las personas con discapacidad visual” ; grupo educación $9.600.000 el cual queda con un saldo de $27.600.000
Circular No 11: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t>
  </si>
  <si>
    <t xml:space="preserve">Circular No 6: Con el propósito de aumentar $ 15.000.000 por recursos propios 20 al concepto “Viáticos” (Educación) se realizan las siguientes modificaciones: 
a) Se reducen $1.550.000 del concepto “Contratación por prestación de apoyo a la gestión institucional en las localidades de Bogotá” el cual queda con un saldo de $13.950.000 
b) Se reducen $3.965.539 del concepto “Contrato de prestación de servicios profesionales para educación 2” el cual queda con un saldo de $27.034.461
c) Se reducen $3.965.539 del concepto “Contrato de prestación de servicios profesionales para educación 3” el cual queda con un saldo de $27.034.461
d) Se reducen $5.518.922 del concepto “Evento para fortalecer las condiciones de actores públicos y privados para la inclusión de las personas con discapacidad visual (Educación)”, el cual queda con un saldo de $1.681.078
2. Se reducen $1.681.078 de recursos propios 20 del concepto “Evento para fortalecer las condiciones de actores públicos y privados para la inclusión de las personas con discapacidad visual (Educación)”, el cual queda con un saldo de $0 y se aumentan al concepto “Tiquetes terrestres” el cual queda con un saldo de $6.161.078
Circular No 11: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t>
  </si>
  <si>
    <t xml:space="preserve">Circular No 3: Se reduce por recursos propios 20 del concepto “Tiquetes terrestres” $840.000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aumentan $840.000 por recursos propios 20 al concepto “Tiquetes terrestres” de la meta “Asesorar a las instancias competentes para promover la empleabilidad de las personas con discapacidad visual” grupo de gestión interinstitucional  el cual queda con un saldo de $1.400.000
Circular No 10: Se reducen de recursos propios 20 $500.000 del concepto tiquetes terrestres (Empleabilidad), el cual queda con un saldo de  $900.000 y se aumentan a tiquetes terrestres (Educación) el cual queda con un saldo de  $7.061.078
Circular No 11: xxxx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d) Se reducen $ 840.000 del concepto “Tiquete terrestre regiones (Empleabilidad)” el cual queda con un saldo de $60.000
e) Se reducen $ 6.400.000 del concepto “Tiquetes aéreos (Empleabilidad)” el cual queda con un saldo de $ 0
f) Se reducen $ 7.505.990 del concepto “Viáticos (Empleabilidad)” el cual queda con un saldo de $1.204.555
</t>
  </si>
  <si>
    <t xml:space="preserve">Circular No 11: xxxx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d) Se reducen $ 840.000 del concepto “Tiquete terrestre regiones (Empleabilidad)” el cual queda con un saldo de $60.000
e) Se reducen $ 6.400.000 del concepto “Tiquetes aéreos (Empleabilidad)” el cual queda con un saldo de $ 0 f) Se reducen $ 7.505.990 del concepto “Viáticos (Empleabilidad)” el cual queda con un saldo de $1.204.555
</t>
  </si>
  <si>
    <t xml:space="preserve">Circular No 3:  Se reduce por recursos propios 20 $ 9.372.080 del concepto ”Viáticos” de la meta “Brindar asesoría a entidades públicas y privadas que generen condiciones de accesibilidad al espacio físico, a la información y al uso de tecnología especializada para las personas con discapacidad visual”; Grupo de Accesibilidad el cual queda con un saldo de $0 y se aumenta por recursos propios 20 $9.372.080 al concepto “Viáticos” de la meta “Asesorar a las instancias competentes para promover la empleabilidad de las personas con discapacidad visual” grupo de gestión interinstitucional  el cual queda con un saldo de $15.710.545
Circular No 11: Se reduce de recursos propios 20 $7.000.000 del concepto Viáticos el cual queda con $8.710.545 y se aumenta al concepto "Evento para fortalecer las condiciones de actores públicos y privados para la inclusión de las personas con discapacidad visual (Eventos institucionales)" $7.000.000 el cual queda con un saldo de $ 24.119.672
Circular No 11: xxxx con el propósito de aumentar $17.360.561 por recursos propios al concepto creado por recursos propios 20 “Adquisición de material didáctico especializado y ayudas técnicas para personas con discapacidad visual”, el cual queda con un saldo de $31.194.624 se reduce de los siguientes conceptos: 
a) Se reducen $134.078 del concepto “Tiquete terrestre regiones (Educación)” el cual queda con un saldo de $6.927.000
b) Se reducen  $1.300.000 del concepto “Tiquetes aéreos (Educación)” el cual queda con un saldo de $26.300.000
c) Se reducen $ 602.161 del concepto “Viáticos (Educación)” el cual queda con un saldo de $53.319.016
d) Se reducen $ 840.000 del concepto “Tiquete terrestre regiones (Empleabilidad)” el cual queda con un saldo de $60.000
e) Se reducen $ 6.400.000 del concepto “Tiquetes aéreos (Empleabilidad)” el cual queda con un saldo de $ 0
f) Se reducen $ 7.505.990 del concepto “Viáticos (Empleabilidad)” el cual queda con un saldo de $1.204.555
</t>
  </si>
  <si>
    <t>519-619-1919-3719+4819-4919-5819-6319-6419-8119-8919-8819-9919-11119-11319-14519-15719-17019-30719-19719-20819-23119-28119-30219-31319-32919-33019-35119-36419</t>
  </si>
  <si>
    <t>3819-5619-7719-10119-14119-33319-36319</t>
  </si>
  <si>
    <t>3819-5619-7719-10119-14119-19619-23519-28919-36319</t>
  </si>
  <si>
    <t>3819-5619-7719-10119-14119-16719-19619-23519-28919-33319-36319</t>
  </si>
  <si>
    <t>6119-9919-14019-18719-23919-23919-34619-56119</t>
  </si>
  <si>
    <t>6119-9919-14019-18719-23919-23919-34619-39719-47319-56119</t>
  </si>
  <si>
    <t>RESOLUCION
201911200000333-0513-0713-0933-1273-3403</t>
  </si>
  <si>
    <t>RESOLUCION
201911200000333-0513-0713-0933-1273-1623-1903-2253-2733-3403</t>
  </si>
  <si>
    <r>
      <t>Circular 11: 2.</t>
    </r>
    <r>
      <rPr>
        <sz val="20"/>
        <color theme="1"/>
        <rFont val="Times New Roman"/>
        <family val="1"/>
      </rPr>
      <t xml:space="preserve">    </t>
    </r>
    <r>
      <rPr>
        <sz val="20"/>
        <color theme="1"/>
        <rFont val="Arial"/>
        <family val="2"/>
      </rPr>
      <t xml:space="preserve">Se reducen $ 2.500.000 de recursos propios 20 del concepto “Producción, acompañamiento y montaje de un set de exposición, cuyo tema es el bicentenario de Colombia, para las actividades culturales y educativas del centro cultural del INCI”, el cual queda con un saldo de $ 24.243.580  y se crea por recursos propios 20 el concepto “Contratación 472” por $2.500.000
Circular No 12: 1. Se reduce $ 1.535.217 de recursos propios del concepto “Contratación servicio 472” el cual queda con un saldo de $ 964.783 y se crea el concepto por recursos propios de “Contratación de prestación de servicios profesionales de diseño y corrección de estilo para la imprenta nacional para ciegos 1”, el cual queda con un saldo de $ 1.535.217
2. Se reduce de recursos propios  $964.783 del concepto “Contratación 472” el cual queda con un saldo de $ 0 y se crea el concepto “Contratación de servicios  de apoyo a la gestion  para la imprenta Nacional para Ciegos” por $ 964.783 
</t>
    </r>
  </si>
  <si>
    <t xml:space="preserve">Circular No 6: Con el propósito de aumentar $ 9.442.255 de recursos Nación al concepto “Adquisición de máquinas para la modernización de la imprenta”, el cual queda con un saldo de $41.771.217 se realizan las siguientes modificaciones:
a) Se reducen de recursos Nación $3.000.000 del concepto” Contratar el servicio de corte láser de material suministrado por la Imprenta Nacional para Ciegos”, el cual queda con un saldo de $0
b) Se reducen de recursos Nación $546.440 del concepto “Contratación de servicios de apoyo a la gestión para la imprenta Nacional para Ciegos 1”, el cual queda con un saldo de $27.680.000
c) Se reducen de recursos Nación $546.440 del concepto “Contratación de servicios de apoyo a la gestión para la imprenta Nacional para Ciegos 2”, el cual queda con un saldo de $27.680.000
d) Se reducen de recursos Nación $1.425.556 del concepto “Contratación de prestación de servicios profesionales de diseño y corrección de estilo para la imprenta nacional para ciegos 1”, el cual queda con un saldo de $ 36.187.250
e) Se reducen de recursos Nación $1.100.000 del concepto “Caja menor - Materiales y suministro” el cual queda con un saldo de $0 
f) Se reducen de recursos Nación “Caja menor – Mantenimiento” $1.650.000 el cual queda con un saldo de $0
g) Se reducen de recursos Nación “Caja menor - Comunicaciones y transporte” $1.173.820 el cual queda con un saldo de $476.180
Circular No 12: 1. Se reduce $ 1.535.217 de recursos propios del concepto “Contratación servicio 472” el cual queda con un saldo de $ 964.783 y se crea el concepto por recursos propios de “Contratación de prestación de servicios profesionales de diseño y corrección de estilo para la imprenta nacional para ciegos 1”, el cual queda con un saldo de $ 1.535.217
</t>
  </si>
  <si>
    <t>Circular No 12: 2. Se reduce de recursos propios  $964.783 del concepto “Contratación 472” el cual queda con un saldo de $ 0 y se crea el concepto “Contratación de servicios  de apoyo a la gestion  para la imprenta Nacional para Ciegos” por $ 964.783 
3. Se reduce $201.210 del concepto “Contratación de mantenimiento de máquinas y equipos de la imprenta Nacional para Ciegos” el cual queda con un saldo de $197.274.250 y se aumentan al concepto “Contratación de servicios  de apoyo a la gestion  para la imprenta Nacional para Ciegos” el cual queda con un saldo de $30.808.710</t>
  </si>
  <si>
    <t>3119-36819</t>
  </si>
  <si>
    <t>Circular No 6: Se reducen de recursos Nación $ 26.999.280 del concepto “Adquisición de pliegos de papel para la producción de la Imprenta Nacional para Ciegos” el cual queda con un saldo de $223.000.720 y se aumentan por recursos Nación $26.999.820 al concepto “Contratación de mantenimiento de máquinas y equipos de la imprenta Nacional para Ciegos” el cual queda con un saldo de $ 196.999.280
- Se reducen de recursos Nación $476.180 del concepto Caja menor - Comunicaciones y transporte el cual queda con un saldo de $ 0 y se aumentan al concepto “Contratación de mantenimiento de máquinas y equipos de la imprenta Nacional para Ciegos”, el cual queda con un saldo de $197.475.460
Circular No 12: 3. Se reduce $201.210 del concepto “Contratación de mantenimiento de máquinas y equipos de la imprenta Nacional para Ciegos” el cual queda con un saldo de $197.274.250 y se aumentan al concepto “Contratación de servicios  de apoyo a la gestion  para la imprenta Nacional para Ciegos” el cual queda con un saldo de $30.808.710
4. Se reduce $ 1.951.837 de recursos Nación del concepto “Contratación de mantenimiento de máquinas y equipos de la imprenta Nacional para Ciegos” el cual queda con un saldo de $195.322.413 y se  crea por recursos Nación el concepto “Contratación de prestación de servicios para espacio de capacitación en elaboración de documentos accesibles formato  EPUB  a servidores públicos del INCI” por $ 1.951.837</t>
  </si>
  <si>
    <t>Circular No 7: 2. Se reducen $20.000.000 de recursos propios 20 del concepto “Software para administración de la biblioteca” para crear o aumentar a los siguientes conceptos: 
a) Se crea por $ 5.000.000 por recursos propios 20 el concepto ”Contratación de prestación de servicios para espacio de capacitación elaboración documentos accesibles formato  EPUB  a servidores públicos del INCI”
b) Se crea por $ 6.594.554 por recursos propios 20 el concepto “Contratación de prestación de servicios para actividades de producción de libros especializados en formato EPUB (1)”
c) Se aumentan $ 4.200.000 de recursos propios al concepto “Tiquetes aéreos”, el cual queda con un saldo de $9.000.006
d) Se aumentan $ 3.605.446 al concepto “Viaticos”, el cual queda con un saldo de $7.047.493
e) Se aumentan $ 600.000 al concepto “Tiquetes Terrestres” el cual queda con un saldo de $ 1.020.000
Circular No 11: 6. Con el propósito de crear por recursos propios 20 el concepto “Adquisición de material didáctico especializado y ayudas técnicas para personas con discapacidad visual”, por $13.834.063 se reduce de los siguientes conceptos: 
a) Se reduce $ 1.520.090 del concepto “Producción, acompañamiento y montaje de un set de exposición, cuyo tema es el bicentenario de Colombia, para las actividades culturales y educativas del centro cultural del INCI”, el cual queda con un saldo de $22.723.490
b) Se reduce $4.800.006 del concepto “Tiquetes aéreos  (fomento de la lectura; bibliotecas regionales; universidades)” el cual queda con un saldo de $4.200.000
c) Se reduce $ 354.075 del concepto “Tiquete terrestre (fomento de la lectura; bibliotecas regionales; universidades)” el cual queda con un saldo de $1.061.400
d) Se reduce $ 4.052 del concepto “Viáticos (fomento de la lectura; bibliotecas regionales; universidades)” el cual queda con un saldo de $9.043.441
e) Se reduce $5.000.000 del concepto “Contratación de prestación de servicios para espacio de capacitación elaboración documentos accesibles formato  EPUB  a servidores públicos del INCI$ el cual queda con un saldo de $0
Circular No 12: 4. Se reduce $ 1.951.837 de recursos Nación del concepto “Contratación de mantenimiento de máquinas y equipos de la imprenta Nacional para Ciegos” el cual queda con un saldo de $195.322.413 y se  crea por recursos Nación el concepto “Contratación de prestación de servicios para espacio de capacitación en elaboración de documentos accesibles formato  EPUB  a servidores públicos del INCI” por $ 1.951.837</t>
  </si>
  <si>
    <t>80141902</t>
  </si>
  <si>
    <t>3319-5419-8019-10019-14019+17119-19219-22319-29519-33119-36619-37119</t>
  </si>
  <si>
    <t>3019-4119-6719-8619-14819-18719-20119-27819-29419-29519-33019-35819-36019-36619-37219</t>
  </si>
  <si>
    <t>UT SOFT IG</t>
  </si>
  <si>
    <t>43235//102-2019</t>
  </si>
  <si>
    <t>18/01/2019-21-01-2019-2019-02-18-2019-03-06-2019-03-19-2019-04-02 -2019-04-15-2019-04-17-03-05-2019-16-05-2019-2019-06-05-20-06-201-2019-07-04-05-08-2019-15-08-2019/03-09-2019-2019-09-27-09-10-2019-18-10-2019-2019-11-25-06-12-2019</t>
  </si>
  <si>
    <t>119-219-1419-6719-6819-10019-10519-10119-10919-14219-15019-15619-18519-19519-19619-23719-266199-29419-34719-35619-39519-45619-48019-49519-51619-54019-55819</t>
  </si>
  <si>
    <t>1A SOLUCIONES GS SAS</t>
  </si>
  <si>
    <t>104-2019</t>
  </si>
  <si>
    <t>6119-9919-14019-18719-23919-29319-56119</t>
  </si>
  <si>
    <t>7/02/2019-06-03-2019-2019-04-02-06-05-2019-05-06-2019-2019-07-02-2019-07-02-05-08-2019-2019-09-05-03-010-2019-12-09-2019</t>
  </si>
  <si>
    <t>7/02/2019-06-03-2019-2019-04-02-06-05-2019-05-06-2019-2019-07-02-05-08-2019-2019-09-05-03-010-2019-12-09-2019</t>
  </si>
  <si>
    <t>7/02/2019-06-03-2019-2019-04-02-06-05-2019-05-06-2019-09-12-2019</t>
  </si>
  <si>
    <t>JIMENEZ MORA LUIS GUIOVANNY</t>
  </si>
  <si>
    <t>106-2019</t>
  </si>
  <si>
    <t>1/02/2019-2019-03-01 -2019-04-02-06-05-2019-31-05-2019-2019-07-04*02/08/2019-03-09-2019-09-12-2019-18-12-2019</t>
  </si>
  <si>
    <t>3519-9719-14119-18619-23619-29519-34519-39419-51719-56019-57119</t>
  </si>
  <si>
    <t>6219-11119+14719-24719-31819-35119-45519-51519-55219-55319-56019-57319</t>
  </si>
  <si>
    <t>29/01/2019-2019-02-08-2019-03-21-10-04--2019-2019-06-07*22/07/2019-09-08-2019-08-08-2019-27-09-2019-07-11-2019-03-12-2019-18-12-2019</t>
  </si>
  <si>
    <t>5819-13919-25719-35019-38419-52119-58219</t>
  </si>
  <si>
    <t>2019-02-05-2019-04-01 -20-06-2019-27-08-2019-08-11-2019-20-12-20199</t>
  </si>
  <si>
    <t>CUENTA DE COBRO 01-02-03-04-05-06-07</t>
  </si>
  <si>
    <t>110-2019</t>
  </si>
  <si>
    <t>CONTRALORIA GENERAL DE LA REPUBLICA</t>
  </si>
  <si>
    <t>10419-13519-13619-13719-14319-18019-18319-18819-19219-19319-19419-20119-20219-20319-20419-20719-22819-23219-23319-23419-23519-24119-24019-24219-24319-24419-24519-24819-24919-25019-25119-25319-26219-29619-30219-30319-30419-30819-30919-31019-31119-31219-34119-35519-36319-47019-46919-48119-48419+48819-50019-50219-50319-50619-49819-49919-51119-51219-51319-54819-54719-56319</t>
  </si>
  <si>
    <t>14/03/2019-01-04-2019-2019-04-25-26-04-2019-07-05-2019-14-05-2019-16-05-2019-21-05-2019-23-05-2019-27-05-201929-05-2019-15-07-201918-07-2019-2019-08-22-01-10-2019-09-10-2019-16-10-2019-28-10-2019-22-10-2019-30-10-201922-10-2019-05-11-2019-29-11-2019-11-12-2019</t>
  </si>
  <si>
    <t>RESOLUCION
2019120000563//0643-0873-0893-0943-1003-0993-1033-1043-1053-1093-1083-1113-1163-1173-1193-1183-1203-1223-1233-1243-1253-1303-1313-1293-1323-1373-1403-1473-1663-1673-1683-1693-1993+1843-0653-2713-2703-2853-2893-2883-2873-2863-2943-2953-2923-3003-2933-2913-3073-3083-3093-3353-3363-3443</t>
  </si>
  <si>
    <t>SOCIEDAD HOTELERA TEQUENDAMA S A</t>
  </si>
  <si>
    <t>105-2019</t>
  </si>
  <si>
    <t>419-36719</t>
  </si>
  <si>
    <t>25419-34819-34919-36119-36219-39619-40719-40819-41119-41219-45219-45319-46719-46819-52219-52319+556195519</t>
  </si>
  <si>
    <t>25419-34819-34919-36119-36219-39619-40719-40819-41119-41219-45219-45319-46719-46819-522199-52319-55519-55619</t>
  </si>
  <si>
    <t>11/06/2019-2019-08-06-2019-08-22 -2019-09-05-2019-09-09-2019-09-13-2019-09-25  10-01-2019-12-11-2019-05-12-2019</t>
  </si>
  <si>
    <t>11/06/2019-2019-08-06-2019-08-22 -2019-09-05-2019-09-09-2019-09-13-2019-09-25  -10-01-2019-12-11-2019-05-12-2019</t>
  </si>
  <si>
    <t>1393-1923-1913-2073-2063-2243-2323-2423-2413-2603-2613-2683-2673-3153-3163-3383-3393</t>
  </si>
  <si>
    <t>35219-56219</t>
  </si>
  <si>
    <t>8/08/2019+09-12-2019</t>
  </si>
  <si>
    <t>063-2019-103-2019</t>
  </si>
  <si>
    <t>LASER DEPOT SAS
SOLUCIONES INTEGRALES VER SAS EP</t>
  </si>
  <si>
    <t>1219-56819</t>
  </si>
  <si>
    <t>21/01/2019-17-12-2019</t>
  </si>
  <si>
    <t>5919-56919</t>
  </si>
  <si>
    <t>5/02/2019-17-12-2019</t>
  </si>
  <si>
    <t>57819</t>
  </si>
  <si>
    <t>107-2019</t>
  </si>
  <si>
    <t>GRUPO ARKS PREMIER SAS</t>
  </si>
  <si>
    <t>108-2019</t>
  </si>
  <si>
    <t>FORERO OSORIO FABIAN FELIPE</t>
  </si>
  <si>
    <t>GRUPO LOS LAGOS S.A.S.</t>
  </si>
  <si>
    <t>109-2019</t>
  </si>
  <si>
    <t>B-588</t>
  </si>
  <si>
    <t>UNIVERSIDAD SANTO TOMAS</t>
  </si>
  <si>
    <t>37819</t>
  </si>
  <si>
    <t>13919-18219-20319-38019</t>
  </si>
  <si>
    <t>26719-38119-38219</t>
  </si>
  <si>
    <t>Circular No 6: Se reduce $1.500.000 de recursos propios 20 del concepto  “Servicios de telefonía y otras telecomunicaciones” el cual queda con un saldo de $17.052.386 y se aumentan al concepto “Contratación de servicios para el apoyo del área Financiera” el cual queda con un saldo de $18.962.597
Cirtcular No 8: 1. Se reducen $2.000 de recursos Nación del concepto “Servicios de telefonía y otras telecomunicaciones” el cual queda con un saldo de $7.447.906 y se aumentan $2.000 al concepto Tasas y derechos administrativos el cual queda con un saldo de $55.000 
2. Se reducen $12.000.000 de recursos Propios 20 del concepto “Servicios de telefonía y otras telecomunicaciones” el cual queda con un saldo de $ 5.052.386 y se aumentan $12.000.000 al concepto “Muebles, del tipo utilizado en oficinas” el cual queda con un saldo de $30.000.000 
Circular No 10: 3. Se reducen de recursos Propios 20 $ 2.089.848 del concepto “Servicios de telefonía y otras telecomunicaciones” el cual queda con un saldo de $2.962.538 y se aumentan por recursos Propios 20 $2.089.848 al concepto “Honorarios- Consejo directivo” el cual queda con un saldo de $5.605.435
2. Se reducen de recursos Nación $657.800 del concepto “Servicios de telefonía y otras telecomunicaciones” el cual queda con un saldo de $21.190.848 y se crea por recursos Nación el concepto “Contrato de prestación de servicios como apoyo a la oficina de control interno” el cual queda con un saldo de $ 657.800
Circular No 10: 5. Con el propósito de aumentar por recursos propios 20 $ 3.289.000 al concepto “Contrato de prestación de servicios como apoyo a la oficina de control interno” el cual queda con un saldo de $36.179.000 se realizan las siguientes modificaciones: 
a) Se reducen de recursos Propios 20 $ 1.462.538 del concepto “Servicios de telefonía y otras telecomunicaciones” el cual queda con un saldo de $1.500.000
b) Se reducen por recursos propios 20 $ 1.826.462 del concepto Servicios de mantenimiento y reparación de computadores y equipo periférico el cual queda con un saldo de $0
Circualr No 12: 5. Se reducen de recursos Nación $1.681.600 del concepto “Servicios de telefonía y otras telecomunicaciones” el cual queda con un saldo de $19.509.248 y se aumentan $1.681.600 al concepto “Cuota de fiscalización y Auditaje” el cual queda con un saldo de $ 10.681.600</t>
  </si>
  <si>
    <t>Circular No 12: 5. Se reducen de recursos Nación $1.681.600 del concepto “Servicios de telefonía y otras telecomunicaciones” el cual queda con un saldo de $19.509.248 y se aumentan $1.681.600 al concepto “Cuota de fiscalización y Auditaje” el cual queda con un saldo de $ 10.681.600</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</si>
</sst>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 #,##0_);_(&quot;$&quot;\ * \(#,##0\);_(&quot;$&quot;\ * &quot;-&quot;_);_(@_)"/>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_-* #,##0.00_-;\-* #,##0.00_-;_-* &quot;-&quot;??_-;_-@_-"/>
    <numFmt numFmtId="167" formatCode="_(* #,##0_);_(* \(#,##0\);_(* &quot;-&quot;??_);_(@_)"/>
    <numFmt numFmtId="168" formatCode="[$-240A]d&quot; de &quot;mmmm&quot; de &quot;yyyy;@"/>
    <numFmt numFmtId="169" formatCode="&quot;$&quot;\ #,##0"/>
    <numFmt numFmtId="170" formatCode="0;[Red]0"/>
    <numFmt numFmtId="171" formatCode="_(&quot;$&quot;\ * #,##0_);_(&quot;$&quot;\ * \(#,##0\);_(&quot;$&quot;\ * &quot;-&quot;??_);_(@_)"/>
    <numFmt numFmtId="172" formatCode="00"/>
    <numFmt numFmtId="173" formatCode="000"/>
    <numFmt numFmtId="174" formatCode="_-&quot;$&quot;\ * #,##0.000_-;\-&quot;$&quot;\ * #,##0.000_-;_-&quot;$&quot;\ * &quot;-&quot;_-;_-@_-"/>
    <numFmt numFmtId="175" formatCode="_-&quot;$&quot;\ * #,##0.000_-;\-&quot;$&quot;\ * #,##0.000_-;_-&quot;$&quot;\ * &quot;-&quot;???_-;_-@_-"/>
    <numFmt numFmtId="176" formatCode="_-&quot;$&quot;\ * #,##0.0_-;\-&quot;$&quot;\ * #,##0.0_-;_-&quot;$&quot;\ * &quot;-&quot;_-;_-@_-"/>
    <numFmt numFmtId="177" formatCode="#,###\ &quot;COP&quot;"/>
    <numFmt numFmtId="178" formatCode="#,##0.00\ \€"/>
    <numFmt numFmtId="179" formatCode="_(* #,##0.00_);_(* \(#,##0.00\);_(* &quot;-&quot;_);_(@_)"/>
    <numFmt numFmtId="180" formatCode="_(* #,##0.0_);_(* \(#,##0.0\);_(* &quot;-&quot;??_);_(@_)"/>
  </numFmts>
  <fonts count="52" x14ac:knownFonts="1">
    <font>
      <sz val="11"/>
      <color theme="1"/>
      <name val="Calibri"/>
      <family val="2"/>
      <scheme val="minor"/>
    </font>
    <font>
      <sz val="11"/>
      <color theme="1"/>
      <name val="Calibri"/>
      <family val="2"/>
      <scheme val="minor"/>
    </font>
    <font>
      <sz val="11"/>
      <color theme="0"/>
      <name val="Calibri"/>
      <family val="2"/>
      <scheme val="minor"/>
    </font>
    <font>
      <sz val="10"/>
      <name val="Verdana"/>
      <family val="2"/>
    </font>
    <font>
      <sz val="10"/>
      <name val="Arial"/>
      <family val="2"/>
    </font>
    <font>
      <sz val="12"/>
      <color theme="1"/>
      <name val="Arial"/>
      <family val="2"/>
    </font>
    <font>
      <sz val="11"/>
      <name val="Times New Roman"/>
      <family val="1"/>
    </font>
    <font>
      <sz val="10"/>
      <color theme="1"/>
      <name val="Arial"/>
      <family val="2"/>
    </font>
    <font>
      <sz val="14"/>
      <color theme="1"/>
      <name val="Arial"/>
      <family val="2"/>
    </font>
    <font>
      <b/>
      <sz val="12"/>
      <color theme="1"/>
      <name val="Calibri"/>
      <family val="2"/>
      <scheme val="minor"/>
    </font>
    <font>
      <b/>
      <sz val="11"/>
      <name val="Times New Roman"/>
      <family val="1"/>
    </font>
    <font>
      <sz val="10"/>
      <name val="Arial Narrow"/>
      <family val="2"/>
    </font>
    <font>
      <sz val="9"/>
      <color indexed="81"/>
      <name val="Tahoma"/>
      <family val="2"/>
    </font>
    <font>
      <b/>
      <sz val="9"/>
      <color indexed="81"/>
      <name val="Tahoma"/>
      <family val="2"/>
    </font>
    <font>
      <sz val="10"/>
      <color theme="0"/>
      <name val="Arial Narrow"/>
      <family val="2"/>
    </font>
    <font>
      <sz val="12"/>
      <color theme="1"/>
      <name val="Calibri"/>
      <family val="2"/>
      <scheme val="minor"/>
    </font>
    <font>
      <b/>
      <sz val="10"/>
      <name val="Verdana"/>
      <family val="2"/>
    </font>
    <font>
      <b/>
      <sz val="10"/>
      <color theme="1"/>
      <name val="Verdana"/>
      <family val="2"/>
    </font>
    <font>
      <sz val="10"/>
      <color theme="1"/>
      <name val="Verdana"/>
      <family val="2"/>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24"/>
      <name val="Arial"/>
      <family val="2"/>
    </font>
    <font>
      <b/>
      <sz val="24"/>
      <name val="Arial"/>
      <family val="2"/>
    </font>
    <font>
      <b/>
      <sz val="24"/>
      <color theme="0"/>
      <name val="Arial"/>
      <family val="2"/>
    </font>
    <font>
      <sz val="24"/>
      <color rgb="FF0070C0"/>
      <name val="Arial"/>
      <family val="2"/>
    </font>
    <font>
      <sz val="24"/>
      <color theme="1"/>
      <name val="Arial"/>
      <family val="2"/>
    </font>
    <font>
      <sz val="24"/>
      <color rgb="FF000000"/>
      <name val="Arial"/>
      <family val="2"/>
    </font>
    <font>
      <sz val="24"/>
      <color rgb="FFFF0000"/>
      <name val="Arial"/>
      <family val="2"/>
    </font>
    <font>
      <sz val="26"/>
      <name val="Arial"/>
      <family val="2"/>
    </font>
    <font>
      <b/>
      <sz val="26"/>
      <name val="Arial"/>
      <family val="2"/>
    </font>
    <font>
      <sz val="26"/>
      <color theme="1"/>
      <name val="Arial"/>
      <family val="2"/>
    </font>
    <font>
      <sz val="16"/>
      <name val="Arial"/>
      <family val="2"/>
    </font>
    <font>
      <b/>
      <sz val="16"/>
      <name val="Arial"/>
      <family val="2"/>
    </font>
    <font>
      <b/>
      <sz val="16"/>
      <color theme="0"/>
      <name val="Arial"/>
      <family val="2"/>
    </font>
    <font>
      <sz val="16"/>
      <color rgb="FF0070C0"/>
      <name val="Arial"/>
      <family val="2"/>
    </font>
    <font>
      <sz val="16"/>
      <color rgb="FF000000"/>
      <name val="Arial"/>
      <family val="2"/>
    </font>
    <font>
      <sz val="16"/>
      <color theme="1"/>
      <name val="Arial"/>
      <family val="2"/>
    </font>
    <font>
      <sz val="16"/>
      <color rgb="FFFF0000"/>
      <name val="Arial"/>
      <family val="2"/>
    </font>
    <font>
      <sz val="14"/>
      <name val="Arial"/>
      <family val="2"/>
    </font>
    <font>
      <b/>
      <sz val="22"/>
      <name val="Arial"/>
      <family val="2"/>
    </font>
    <font>
      <sz val="20"/>
      <name val="Arial"/>
      <family val="2"/>
    </font>
    <font>
      <b/>
      <sz val="20"/>
      <name val="Arial"/>
      <family val="2"/>
    </font>
    <font>
      <sz val="20"/>
      <color theme="1"/>
      <name val="Arial"/>
      <family val="2"/>
    </font>
    <font>
      <b/>
      <sz val="14"/>
      <name val="Arial"/>
      <family val="2"/>
    </font>
    <font>
      <sz val="22"/>
      <name val="Arial"/>
      <family val="2"/>
    </font>
    <font>
      <sz val="18"/>
      <name val="Arial"/>
      <family val="2"/>
    </font>
    <font>
      <sz val="20"/>
      <color theme="1"/>
      <name val="Times New Roman"/>
      <family val="1"/>
    </font>
    <font>
      <b/>
      <sz val="12"/>
      <color indexed="81"/>
      <name val="Tahoma"/>
      <family val="2"/>
    </font>
    <font>
      <b/>
      <sz val="14"/>
      <color indexed="81"/>
      <name val="Tahoma"/>
      <family val="2"/>
    </font>
    <font>
      <sz val="14"/>
      <color indexed="81"/>
      <name val="Tahoma"/>
      <family val="2"/>
    </font>
  </fonts>
  <fills count="42">
    <fill>
      <patternFill patternType="none"/>
    </fill>
    <fill>
      <patternFill patternType="gray125"/>
    </fill>
    <fill>
      <patternFill patternType="solid">
        <fgColor theme="4"/>
      </patternFill>
    </fill>
    <fill>
      <patternFill patternType="solid">
        <fgColor theme="9"/>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99657F"/>
        <bgColor indexed="64"/>
      </patternFill>
    </fill>
    <fill>
      <patternFill patternType="solid">
        <fgColor theme="0" tint="-0.249977111117893"/>
        <bgColor indexed="64"/>
      </patternFill>
    </fill>
    <fill>
      <patternFill patternType="solid">
        <fgColor rgb="FFBB97A9"/>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7BBBB"/>
        <bgColor indexed="64"/>
      </patternFill>
    </fill>
    <fill>
      <patternFill patternType="solid">
        <fgColor rgb="FFC6E0B4"/>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5"/>
      </patternFill>
    </fill>
    <fill>
      <patternFill patternType="solid">
        <fgColor rgb="FFDBE5F1"/>
        <bgColor indexed="64"/>
      </patternFill>
    </fill>
    <fill>
      <patternFill patternType="solid">
        <fgColor rgb="FF80808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
      <patternFill patternType="solid">
        <fgColor rgb="FF66CCFF"/>
        <bgColor indexed="64"/>
      </patternFill>
    </fill>
    <fill>
      <patternFill patternType="solid">
        <fgColor rgb="FFFFCCFF"/>
        <bgColor indexed="64"/>
      </patternFill>
    </fill>
    <fill>
      <patternFill patternType="solid">
        <fgColor theme="9"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rgb="FF66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71">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43" fontId="1" fillId="0" borderId="0" applyFont="0" applyFill="0" applyBorder="0" applyAlignment="0" applyProtection="0"/>
    <xf numFmtId="49" fontId="3" fillId="0" borderId="0">
      <alignment horizontal="left" vertical="center"/>
    </xf>
    <xf numFmtId="0" fontId="1" fillId="0" borderId="0"/>
    <xf numFmtId="0" fontId="4" fillId="0" borderId="0"/>
    <xf numFmtId="0" fontId="4" fillId="0" borderId="0"/>
    <xf numFmtId="164" fontId="1" fillId="0" borderId="0" applyFont="0" applyFill="0" applyBorder="0" applyAlignment="0" applyProtection="0"/>
    <xf numFmtId="42" fontId="1" fillId="0" borderId="0" applyFont="0" applyFill="0" applyBorder="0" applyAlignment="0" applyProtection="0"/>
    <xf numFmtId="0" fontId="1" fillId="0" borderId="0"/>
    <xf numFmtId="172" fontId="11" fillId="0" borderId="0" applyFill="0">
      <alignment horizontal="center" vertical="center" wrapText="1"/>
    </xf>
    <xf numFmtId="173" fontId="11" fillId="29" borderId="0" applyFill="0" applyProtection="0">
      <alignment horizontal="center" vertical="center"/>
    </xf>
    <xf numFmtId="165" fontId="1" fillId="0" borderId="0" applyFont="0" applyFill="0" applyBorder="0" applyAlignment="0" applyProtection="0"/>
    <xf numFmtId="1" fontId="11" fillId="20" borderId="0" applyFill="0">
      <alignment horizontal="center" vertical="center"/>
    </xf>
    <xf numFmtId="173" fontId="14" fillId="29" borderId="0" applyFill="0" applyAlignment="0">
      <alignment horizontal="center" vertical="center"/>
    </xf>
    <xf numFmtId="0" fontId="4" fillId="0" borderId="0"/>
    <xf numFmtId="164" fontId="1" fillId="0" borderId="0" applyFont="0" applyFill="0" applyBorder="0" applyAlignment="0" applyProtection="0"/>
    <xf numFmtId="0" fontId="15" fillId="0" borderId="0"/>
    <xf numFmtId="166" fontId="15" fillId="0" borderId="0" applyFont="0" applyFill="0" applyBorder="0" applyAlignment="0" applyProtection="0"/>
    <xf numFmtId="0" fontId="1" fillId="30" borderId="0" applyNumberFormat="0" applyBorder="0" applyAlignment="0" applyProtection="0"/>
    <xf numFmtId="0" fontId="15" fillId="0" borderId="0"/>
    <xf numFmtId="0" fontId="1" fillId="0" borderId="0"/>
    <xf numFmtId="166"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16" fillId="31" borderId="0">
      <alignment horizontal="center" vertical="center"/>
    </xf>
    <xf numFmtId="0" fontId="16" fillId="32" borderId="1">
      <alignment horizontal="left" vertical="center" wrapText="1"/>
    </xf>
    <xf numFmtId="0" fontId="17" fillId="32" borderId="1" applyNumberFormat="0" applyProtection="0">
      <alignment horizontal="left" vertical="center" wrapText="1"/>
    </xf>
    <xf numFmtId="0" fontId="7" fillId="0" borderId="0"/>
    <xf numFmtId="0" fontId="17" fillId="31" borderId="0" applyNumberFormat="0" applyBorder="0" applyProtection="0">
      <alignment horizontal="center" vertical="center"/>
    </xf>
    <xf numFmtId="49" fontId="18" fillId="0" borderId="0" applyFill="0" applyBorder="0" applyProtection="0">
      <alignment horizontal="left" vertical="center"/>
    </xf>
    <xf numFmtId="3" fontId="18" fillId="0" borderId="0" applyFill="0" applyBorder="0" applyProtection="0">
      <alignment horizontal="right" vertical="center"/>
    </xf>
    <xf numFmtId="0" fontId="4" fillId="0" borderId="0"/>
    <xf numFmtId="0" fontId="15" fillId="0" borderId="0"/>
    <xf numFmtId="166" fontId="15" fillId="0" borderId="0" applyFont="0" applyFill="0" applyBorder="0" applyAlignment="0" applyProtection="0"/>
    <xf numFmtId="0" fontId="1" fillId="0" borderId="0"/>
    <xf numFmtId="0" fontId="1" fillId="30" borderId="0" applyNumberFormat="0" applyBorder="0" applyAlignment="0" applyProtection="0"/>
    <xf numFmtId="0" fontId="15" fillId="0" borderId="0"/>
    <xf numFmtId="165" fontId="1" fillId="0" borderId="0" applyFont="0" applyFill="0" applyBorder="0" applyAlignment="0" applyProtection="0"/>
    <xf numFmtId="9" fontId="7" fillId="0" borderId="0" applyFont="0" applyFill="0" applyBorder="0" applyAlignment="0" applyProtection="0"/>
    <xf numFmtId="177"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0" fontId="17" fillId="34" borderId="0" applyNumberFormat="0" applyBorder="0" applyProtection="0">
      <alignment horizontal="center" vertical="center"/>
    </xf>
    <xf numFmtId="0" fontId="17" fillId="32" borderId="0" applyNumberFormat="0" applyBorder="0" applyProtection="0">
      <alignment horizontal="center" vertical="center" wrapText="1"/>
    </xf>
    <xf numFmtId="0" fontId="17" fillId="32" borderId="0" applyNumberFormat="0" applyBorder="0" applyProtection="0">
      <alignment horizontal="right" vertical="center" wrapText="1"/>
    </xf>
    <xf numFmtId="0" fontId="17" fillId="35" borderId="0" applyNumberFormat="0" applyBorder="0" applyProtection="0">
      <alignment horizontal="center" vertical="center" wrapText="1"/>
    </xf>
    <xf numFmtId="0" fontId="18" fillId="35" borderId="0" applyNumberFormat="0" applyBorder="0" applyProtection="0">
      <alignment horizontal="right" vertical="center" wrapText="1"/>
    </xf>
    <xf numFmtId="0" fontId="17" fillId="0" borderId="0" applyNumberFormat="0" applyFill="0" applyBorder="0" applyProtection="0">
      <alignment horizontal="left" vertical="center"/>
    </xf>
    <xf numFmtId="0" fontId="17" fillId="0" borderId="0" applyNumberFormat="0" applyFill="0" applyBorder="0" applyProtection="0">
      <alignment horizontal="right" vertical="center"/>
    </xf>
    <xf numFmtId="178" fontId="18" fillId="0" borderId="0" applyFill="0" applyBorder="0" applyProtection="0">
      <alignment horizontal="right" vertical="center"/>
    </xf>
    <xf numFmtId="14" fontId="18" fillId="0" borderId="0" applyFill="0" applyBorder="0" applyProtection="0">
      <alignment horizontal="right" vertical="center"/>
    </xf>
    <xf numFmtId="22" fontId="18" fillId="0" borderId="0" applyFill="0" applyBorder="0" applyProtection="0">
      <alignment horizontal="right" vertical="center"/>
    </xf>
    <xf numFmtId="4" fontId="18" fillId="0" borderId="0" applyFill="0" applyBorder="0" applyProtection="0">
      <alignment horizontal="right" vertical="center"/>
    </xf>
    <xf numFmtId="0" fontId="18" fillId="0" borderId="1" applyNumberFormat="0" applyFill="0" applyProtection="0">
      <alignment horizontal="left" vertical="center"/>
    </xf>
    <xf numFmtId="178" fontId="18" fillId="0" borderId="1" applyFill="0" applyProtection="0">
      <alignment horizontal="right" vertical="center"/>
    </xf>
    <xf numFmtId="3" fontId="18" fillId="0" borderId="1" applyFill="0" applyProtection="0">
      <alignment horizontal="right" vertical="center"/>
    </xf>
    <xf numFmtId="4" fontId="18" fillId="0" borderId="1" applyFill="0" applyProtection="0">
      <alignment horizontal="right" vertical="center"/>
    </xf>
    <xf numFmtId="0" fontId="7" fillId="0" borderId="1" applyNumberFormat="0" applyFont="0" applyFill="0" applyAlignment="0" applyProtection="0"/>
    <xf numFmtId="0" fontId="22" fillId="0" borderId="0"/>
    <xf numFmtId="165" fontId="1" fillId="0" borderId="0" applyFont="0" applyFill="0" applyBorder="0" applyAlignment="0" applyProtection="0"/>
    <xf numFmtId="166" fontId="1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5" fillId="0" borderId="0" applyFont="0" applyFill="0" applyBorder="0" applyAlignment="0" applyProtection="0"/>
    <xf numFmtId="165" fontId="1" fillId="0" borderId="0" applyFont="0" applyFill="0" applyBorder="0" applyAlignment="0" applyProtection="0"/>
  </cellStyleXfs>
  <cellXfs count="588">
    <xf numFmtId="0" fontId="0" fillId="0" borderId="0" xfId="0"/>
    <xf numFmtId="0" fontId="0" fillId="0" borderId="0" xfId="0" applyAlignment="1">
      <alignment wrapText="1"/>
    </xf>
    <xf numFmtId="0" fontId="0" fillId="4" borderId="0" xfId="0" applyFill="1"/>
    <xf numFmtId="0" fontId="0" fillId="4" borderId="0" xfId="0" applyFill="1" applyAlignment="1">
      <alignment wrapText="1"/>
    </xf>
    <xf numFmtId="0" fontId="6" fillId="5" borderId="1" xfId="10" applyFont="1" applyFill="1" applyBorder="1" applyAlignment="1">
      <alignment horizontal="center" vertical="center" wrapText="1"/>
    </xf>
    <xf numFmtId="0" fontId="6" fillId="11" borderId="1" xfId="10" applyFont="1" applyFill="1" applyBorder="1" applyAlignment="1">
      <alignment horizontal="center" vertical="center" wrapText="1"/>
    </xf>
    <xf numFmtId="0" fontId="6" fillId="8" borderId="1" xfId="1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3" fontId="8" fillId="0" borderId="9" xfId="0" applyNumberFormat="1" applyFont="1" applyBorder="1" applyAlignment="1">
      <alignment horizontal="center" vertical="center"/>
    </xf>
    <xf numFmtId="0" fontId="7" fillId="0" borderId="0" xfId="0" applyFont="1" applyBorder="1" applyAlignment="1">
      <alignment wrapText="1"/>
    </xf>
    <xf numFmtId="0" fontId="7" fillId="0" borderId="0" xfId="0" applyFont="1" applyBorder="1"/>
    <xf numFmtId="3" fontId="8" fillId="0" borderId="13"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21" borderId="1" xfId="0" applyFont="1" applyFill="1" applyBorder="1" applyAlignment="1">
      <alignment horizontal="center" vertical="center" wrapText="1"/>
    </xf>
    <xf numFmtId="169" fontId="9" fillId="21"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42" fontId="0" fillId="0" borderId="0" xfId="12" applyFont="1" applyAlignment="1">
      <alignment horizontal="center" vertical="center"/>
    </xf>
    <xf numFmtId="169"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169" fontId="0" fillId="0" borderId="1" xfId="0" applyNumberFormat="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center" vertical="center" wrapText="1"/>
    </xf>
    <xf numFmtId="168" fontId="5" fillId="0" borderId="1" xfId="0" applyNumberFormat="1" applyFont="1" applyBorder="1" applyAlignment="1">
      <alignment horizontal="center" vertical="center" wrapText="1"/>
    </xf>
    <xf numFmtId="42" fontId="0" fillId="0" borderId="1" xfId="12" applyFont="1" applyBorder="1" applyAlignment="1">
      <alignment horizontal="center" vertical="center" wrapText="1"/>
    </xf>
    <xf numFmtId="42" fontId="0" fillId="0" borderId="1" xfId="12" applyFont="1" applyBorder="1" applyAlignment="1">
      <alignment horizontal="center" vertical="center"/>
    </xf>
    <xf numFmtId="0" fontId="0" fillId="0" borderId="0" xfId="0" applyAlignment="1">
      <alignment horizontal="center" vertical="center"/>
    </xf>
    <xf numFmtId="168" fontId="5" fillId="0" borderId="1" xfId="0" applyNumberFormat="1" applyFont="1" applyBorder="1" applyAlignment="1">
      <alignment horizontal="center" vertical="center"/>
    </xf>
    <xf numFmtId="168"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5" fillId="4" borderId="3" xfId="0" applyFont="1" applyFill="1" applyBorder="1" applyAlignment="1">
      <alignment horizontal="center" vertical="center" wrapText="1"/>
    </xf>
    <xf numFmtId="168" fontId="5" fillId="4" borderId="3"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0" fillId="4" borderId="1" xfId="0" applyNumberFormat="1" applyFill="1" applyBorder="1" applyAlignment="1">
      <alignment horizontal="center" vertical="center" wrapText="1"/>
    </xf>
    <xf numFmtId="169"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5" fillId="0" borderId="3" xfId="0" applyFont="1" applyFill="1" applyBorder="1" applyAlignment="1">
      <alignment horizontal="center" vertical="center" wrapText="1"/>
    </xf>
    <xf numFmtId="169" fontId="0" fillId="0" borderId="1" xfId="0" applyNumberFormat="1" applyFill="1" applyBorder="1" applyAlignment="1">
      <alignment horizontal="center" vertical="center"/>
    </xf>
    <xf numFmtId="3" fontId="0" fillId="0" borderId="1" xfId="0" applyNumberFormat="1" applyFill="1" applyBorder="1" applyAlignment="1">
      <alignment horizontal="center" vertical="center" wrapText="1"/>
    </xf>
    <xf numFmtId="169" fontId="0" fillId="0" borderId="1" xfId="0" applyNumberFormat="1" applyFill="1" applyBorder="1" applyAlignment="1">
      <alignment horizontal="center" vertical="center" wrapText="1"/>
    </xf>
    <xf numFmtId="0" fontId="0" fillId="0" borderId="0" xfId="0" applyFill="1" applyAlignment="1">
      <alignment wrapText="1"/>
    </xf>
    <xf numFmtId="0" fontId="0" fillId="0" borderId="0" xfId="0" applyFill="1"/>
    <xf numFmtId="0" fontId="0" fillId="0" borderId="0" xfId="0" applyAlignment="1">
      <alignment horizontal="left" vertical="top" wrapText="1"/>
    </xf>
    <xf numFmtId="0" fontId="0" fillId="0" borderId="0" xfId="0" applyAlignment="1">
      <alignment horizontal="left" vertical="top"/>
    </xf>
    <xf numFmtId="0" fontId="0" fillId="14" borderId="1" xfId="0"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12" xfId="0" applyFont="1" applyFill="1" applyBorder="1" applyAlignment="1">
      <alignment horizontal="center" vertical="center" wrapText="1"/>
    </xf>
    <xf numFmtId="169" fontId="0" fillId="14" borderId="1" xfId="0" applyNumberFormat="1" applyFill="1" applyBorder="1" applyAlignment="1">
      <alignment horizontal="center" vertical="center"/>
    </xf>
    <xf numFmtId="3" fontId="0" fillId="14" borderId="1" xfId="0" applyNumberFormat="1" applyFill="1" applyBorder="1" applyAlignment="1">
      <alignment horizontal="center" vertical="center" wrapText="1"/>
    </xf>
    <xf numFmtId="169" fontId="0" fillId="14"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5" fillId="19" borderId="12" xfId="0" applyFont="1" applyFill="1" applyBorder="1" applyAlignment="1">
      <alignment horizontal="center" vertical="center" wrapText="1"/>
    </xf>
    <xf numFmtId="169" fontId="0" fillId="19" borderId="1" xfId="0" applyNumberFormat="1" applyFill="1" applyBorder="1" applyAlignment="1">
      <alignment horizontal="center" vertical="center"/>
    </xf>
    <xf numFmtId="3" fontId="0" fillId="19" borderId="1" xfId="0" applyNumberFormat="1" applyFill="1" applyBorder="1" applyAlignment="1">
      <alignment horizontal="center" vertical="center" wrapText="1"/>
    </xf>
    <xf numFmtId="169" fontId="0" fillId="19" borderId="1" xfId="0" applyNumberFormat="1" applyFill="1" applyBorder="1" applyAlignment="1">
      <alignment horizontal="center" vertical="center" wrapText="1"/>
    </xf>
    <xf numFmtId="0" fontId="0" fillId="19" borderId="0" xfId="0" applyFill="1" applyAlignment="1">
      <alignment vertical="center" wrapText="1"/>
    </xf>
    <xf numFmtId="0" fontId="0" fillId="19" borderId="0" xfId="0" applyFill="1"/>
    <xf numFmtId="0" fontId="0" fillId="0" borderId="1" xfId="0" applyFill="1" applyBorder="1" applyAlignment="1">
      <alignment horizontal="left" vertical="center" wrapText="1"/>
    </xf>
    <xf numFmtId="0" fontId="0" fillId="0" borderId="0" xfId="0" applyAlignment="1">
      <alignment horizontal="left" vertical="center" wrapText="1"/>
    </xf>
    <xf numFmtId="0" fontId="0" fillId="21" borderId="1" xfId="0" applyFill="1" applyBorder="1"/>
    <xf numFmtId="0" fontId="0" fillId="21" borderId="1" xfId="0" applyFill="1" applyBorder="1" applyAlignment="1">
      <alignment horizontal="center" vertical="center"/>
    </xf>
    <xf numFmtId="169" fontId="0" fillId="21" borderId="1" xfId="0" applyNumberFormat="1" applyFill="1" applyBorder="1" applyAlignment="1">
      <alignment horizontal="center" vertical="center"/>
    </xf>
    <xf numFmtId="169" fontId="0" fillId="0" borderId="0" xfId="0" applyNumberFormat="1" applyAlignment="1">
      <alignment horizontal="center" vertical="center"/>
    </xf>
    <xf numFmtId="0" fontId="0" fillId="0" borderId="5" xfId="0" applyFill="1" applyBorder="1" applyAlignment="1">
      <alignment horizontal="left" vertical="center" wrapText="1"/>
    </xf>
    <xf numFmtId="167" fontId="10" fillId="2" borderId="1" xfId="4" applyNumberFormat="1" applyFont="1" applyBorder="1" applyAlignment="1" applyProtection="1">
      <alignment horizontal="center" vertical="center" wrapText="1"/>
    </xf>
    <xf numFmtId="0" fontId="6" fillId="0" borderId="1" xfId="0" applyFont="1" applyFill="1" applyBorder="1" applyAlignment="1">
      <alignment horizontal="center" vertical="center"/>
    </xf>
    <xf numFmtId="0" fontId="6" fillId="27"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24"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0" fillId="0" borderId="0" xfId="0" applyFont="1"/>
    <xf numFmtId="0" fontId="19" fillId="21" borderId="1" xfId="0" applyFont="1" applyFill="1" applyBorder="1" applyAlignment="1">
      <alignment horizontal="center" vertical="center" wrapText="1"/>
    </xf>
    <xf numFmtId="0" fontId="19" fillId="21"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0" fillId="33" borderId="1" xfId="0" applyFont="1" applyFill="1" applyBorder="1" applyAlignment="1">
      <alignment horizontal="center" vertical="center" wrapText="1"/>
    </xf>
    <xf numFmtId="0" fontId="0" fillId="0" borderId="1" xfId="0" applyBorder="1" applyAlignment="1">
      <alignment wrapText="1"/>
    </xf>
    <xf numFmtId="0" fontId="20" fillId="0" borderId="1" xfId="0" applyFont="1" applyBorder="1" applyAlignment="1">
      <alignment horizontal="center" vertical="center" wrapText="1"/>
    </xf>
    <xf numFmtId="42" fontId="20" fillId="0" borderId="1" xfId="12" applyFont="1" applyBorder="1" applyAlignment="1">
      <alignment horizontal="center" vertical="center" wrapText="1"/>
    </xf>
    <xf numFmtId="0" fontId="20" fillId="0" borderId="1" xfId="0" applyFont="1" applyFill="1" applyBorder="1" applyAlignment="1">
      <alignment horizontal="center" vertical="center" wrapText="1"/>
    </xf>
    <xf numFmtId="42" fontId="1" fillId="0" borderId="1" xfId="12" applyFont="1" applyFill="1" applyBorder="1" applyAlignment="1">
      <alignment horizontal="center" vertical="center" wrapText="1"/>
    </xf>
    <xf numFmtId="42" fontId="20" fillId="0" borderId="1" xfId="0" applyNumberFormat="1" applyFont="1" applyBorder="1" applyAlignment="1">
      <alignment horizontal="center" vertical="center" wrapText="1"/>
    </xf>
    <xf numFmtId="0" fontId="0" fillId="0" borderId="0" xfId="0" applyBorder="1" applyAlignment="1">
      <alignment horizontal="left" vertical="center"/>
    </xf>
    <xf numFmtId="0" fontId="0" fillId="0" borderId="0" xfId="0" applyBorder="1"/>
    <xf numFmtId="0" fontId="20" fillId="0" borderId="0" xfId="0" applyFont="1" applyBorder="1"/>
    <xf numFmtId="0" fontId="0" fillId="0" borderId="0" xfId="0" applyAlignment="1">
      <alignment horizontal="left" vertical="center"/>
    </xf>
    <xf numFmtId="164" fontId="0" fillId="0" borderId="0" xfId="11" applyFont="1" applyAlignment="1">
      <alignment wrapText="1"/>
    </xf>
    <xf numFmtId="164" fontId="0" fillId="0" borderId="0" xfId="0" applyNumberFormat="1" applyAlignment="1">
      <alignment wrapText="1"/>
    </xf>
    <xf numFmtId="164" fontId="20" fillId="0" borderId="1" xfId="11" applyFont="1" applyBorder="1" applyAlignment="1">
      <alignment horizontal="center" vertical="center" wrapText="1"/>
    </xf>
    <xf numFmtId="0" fontId="20" fillId="14" borderId="1"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0" fillId="14" borderId="1" xfId="0" applyFill="1" applyBorder="1" applyAlignment="1">
      <alignment horizontal="left" vertical="center" wrapText="1"/>
    </xf>
    <xf numFmtId="49" fontId="10" fillId="2" borderId="1" xfId="4" applyNumberFormat="1" applyFont="1" applyBorder="1" applyAlignment="1" applyProtection="1">
      <alignment horizontal="center" vertical="center" wrapText="1"/>
    </xf>
    <xf numFmtId="49" fontId="6" fillId="20" borderId="1" xfId="4" applyNumberFormat="1" applyFont="1" applyFill="1" applyBorder="1" applyAlignment="1" applyProtection="1">
      <alignment horizontal="center" vertical="center" wrapText="1"/>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1" xfId="0" applyFont="1" applyFill="1" applyBorder="1" applyAlignment="1">
      <alignment horizontal="center" vertical="center"/>
    </xf>
    <xf numFmtId="41" fontId="23" fillId="0" borderId="1" xfId="2" applyFont="1" applyBorder="1" applyAlignment="1">
      <alignment horizontal="center" vertical="center" wrapText="1"/>
    </xf>
    <xf numFmtId="0" fontId="23" fillId="0" borderId="1" xfId="0" applyFont="1" applyBorder="1" applyAlignment="1">
      <alignment horizontal="center" vertical="center" wrapText="1"/>
    </xf>
    <xf numFmtId="167" fontId="23" fillId="0" borderId="1" xfId="0" applyNumberFormat="1" applyFont="1" applyBorder="1" applyAlignment="1">
      <alignment horizontal="center" vertical="center"/>
    </xf>
    <xf numFmtId="0" fontId="23" fillId="0" borderId="14" xfId="0" applyFont="1" applyBorder="1" applyAlignment="1">
      <alignment horizontal="center" vertical="center"/>
    </xf>
    <xf numFmtId="41" fontId="24" fillId="0" borderId="1" xfId="2" applyNumberFormat="1" applyFont="1" applyBorder="1" applyAlignment="1">
      <alignment horizontal="center" vertical="center"/>
    </xf>
    <xf numFmtId="49" fontId="24" fillId="8" borderId="1" xfId="4" applyNumberFormat="1" applyFont="1" applyFill="1" applyBorder="1" applyAlignment="1" applyProtection="1">
      <alignment horizontal="center" vertical="center" wrapText="1"/>
    </xf>
    <xf numFmtId="167" fontId="24" fillId="8" borderId="1" xfId="4" applyNumberFormat="1" applyFont="1" applyFill="1" applyBorder="1" applyAlignment="1" applyProtection="1">
      <alignment horizontal="center" vertical="center" wrapText="1"/>
    </xf>
    <xf numFmtId="167" fontId="24" fillId="39" borderId="1" xfId="4" applyNumberFormat="1" applyFont="1" applyFill="1" applyBorder="1" applyAlignment="1" applyProtection="1">
      <alignment horizontal="center" vertical="center" wrapText="1"/>
    </xf>
    <xf numFmtId="41" fontId="24" fillId="9" borderId="1" xfId="2" applyFont="1" applyFill="1" applyBorder="1" applyAlignment="1" applyProtection="1">
      <alignment horizontal="center" vertical="center" wrapText="1"/>
    </xf>
    <xf numFmtId="41" fontId="24" fillId="19" borderId="1" xfId="2" applyFont="1" applyFill="1" applyBorder="1" applyAlignment="1" applyProtection="1">
      <alignment horizontal="center" vertical="center" wrapText="1"/>
    </xf>
    <xf numFmtId="41" fontId="24" fillId="14" borderId="1" xfId="2" applyFont="1" applyFill="1" applyBorder="1" applyAlignment="1" applyProtection="1">
      <alignment horizontal="center" vertical="center" wrapText="1"/>
    </xf>
    <xf numFmtId="0" fontId="26" fillId="37" borderId="1" xfId="24" applyNumberFormat="1" applyFont="1" applyFill="1" applyBorder="1" applyAlignment="1">
      <alignment horizontal="center" vertical="center"/>
    </xf>
    <xf numFmtId="0" fontId="23" fillId="0" borderId="3"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5" borderId="1" xfId="10" applyFont="1" applyFill="1" applyBorder="1" applyAlignment="1">
      <alignment horizontal="center" vertical="center" wrapText="1"/>
    </xf>
    <xf numFmtId="0" fontId="23" fillId="14" borderId="1" xfId="10" applyFont="1" applyFill="1" applyBorder="1" applyAlignment="1">
      <alignment horizontal="center" vertical="center" wrapText="1"/>
    </xf>
    <xf numFmtId="167" fontId="23" fillId="0" borderId="1" xfId="1" applyNumberFormat="1" applyFont="1" applyFill="1" applyBorder="1" applyAlignment="1" applyProtection="1">
      <alignment horizontal="center" vertical="center" wrapText="1"/>
      <protection locked="0"/>
    </xf>
    <xf numFmtId="0" fontId="23" fillId="0" borderId="1" xfId="10" applyFont="1" applyFill="1" applyBorder="1" applyAlignment="1">
      <alignment horizontal="center" vertical="center" wrapText="1"/>
    </xf>
    <xf numFmtId="41" fontId="23" fillId="0" borderId="1" xfId="2" applyNumberFormat="1" applyFont="1" applyFill="1" applyBorder="1" applyAlignment="1" applyProtection="1">
      <alignment horizontal="center" vertical="center" wrapText="1"/>
      <protection locked="0"/>
    </xf>
    <xf numFmtId="164" fontId="23" fillId="0" borderId="1" xfId="11" applyNumberFormat="1" applyFont="1" applyFill="1" applyBorder="1" applyAlignment="1" applyProtection="1">
      <alignment horizontal="center" vertical="center"/>
      <protection locked="0"/>
    </xf>
    <xf numFmtId="174" fontId="23" fillId="0" borderId="1" xfId="1" applyNumberFormat="1" applyFont="1" applyFill="1" applyBorder="1" applyAlignment="1" applyProtection="1">
      <alignment horizontal="center" vertical="center" wrapText="1"/>
      <protection locked="0"/>
    </xf>
    <xf numFmtId="41" fontId="23" fillId="0" borderId="1" xfId="2" applyFont="1" applyFill="1" applyBorder="1" applyAlignment="1" applyProtection="1">
      <alignment horizontal="center" vertical="center"/>
      <protection locked="0"/>
    </xf>
    <xf numFmtId="44" fontId="23" fillId="0" borderId="1" xfId="3" applyFont="1" applyFill="1" applyBorder="1" applyAlignment="1" applyProtection="1">
      <alignment horizontal="center" vertical="center" wrapText="1"/>
    </xf>
    <xf numFmtId="167" fontId="23" fillId="0" borderId="1" xfId="4" applyNumberFormat="1" applyFont="1" applyFill="1" applyBorder="1" applyAlignment="1" applyProtection="1">
      <alignment horizontal="center" vertical="center" wrapText="1"/>
    </xf>
    <xf numFmtId="167" fontId="23" fillId="15" borderId="1" xfId="1" applyNumberFormat="1" applyFont="1" applyFill="1" applyBorder="1" applyAlignment="1" applyProtection="1">
      <alignment horizontal="center" vertical="center" wrapText="1"/>
      <protection locked="0"/>
    </xf>
    <xf numFmtId="0" fontId="23" fillId="0" borderId="1" xfId="1" applyNumberFormat="1" applyFont="1" applyFill="1" applyBorder="1" applyAlignment="1" applyProtection="1">
      <alignment horizontal="center" vertical="center" wrapText="1"/>
      <protection locked="0"/>
    </xf>
    <xf numFmtId="0" fontId="23" fillId="0" borderId="1" xfId="1" applyNumberFormat="1" applyFont="1" applyFill="1" applyBorder="1" applyAlignment="1" applyProtection="1">
      <alignment horizontal="center" vertical="center"/>
      <protection locked="0"/>
    </xf>
    <xf numFmtId="41" fontId="23" fillId="0" borderId="1" xfId="2" applyFont="1" applyFill="1" applyBorder="1" applyAlignment="1" applyProtection="1">
      <alignment horizontal="center" vertical="center" wrapText="1"/>
    </xf>
    <xf numFmtId="0" fontId="23" fillId="0" borderId="0" xfId="0" applyFont="1" applyFill="1" applyBorder="1" applyAlignment="1">
      <alignment horizontal="center" vertical="center"/>
    </xf>
    <xf numFmtId="167" fontId="23" fillId="20" borderId="1" xfId="1" applyNumberFormat="1" applyFont="1" applyFill="1" applyBorder="1" applyAlignment="1" applyProtection="1">
      <alignment horizontal="center" vertical="center" wrapText="1"/>
      <protection locked="0"/>
    </xf>
    <xf numFmtId="0" fontId="23" fillId="20" borderId="1" xfId="1" applyNumberFormat="1" applyFont="1" applyFill="1" applyBorder="1" applyAlignment="1" applyProtection="1">
      <alignment horizontal="center" vertical="center" wrapText="1"/>
      <protection locked="0"/>
    </xf>
    <xf numFmtId="14" fontId="23" fillId="0" borderId="1" xfId="1" applyNumberFormat="1" applyFont="1" applyFill="1" applyBorder="1" applyAlignment="1" applyProtection="1">
      <alignment horizontal="center" vertical="center" wrapText="1"/>
      <protection locked="0"/>
    </xf>
    <xf numFmtId="49" fontId="23" fillId="20" borderId="1" xfId="1" applyNumberFormat="1" applyFont="1" applyFill="1" applyBorder="1" applyAlignment="1" applyProtection="1">
      <alignment horizontal="center" vertical="center" wrapText="1"/>
      <protection locked="0"/>
    </xf>
    <xf numFmtId="49" fontId="23" fillId="0" borderId="1" xfId="1" applyNumberFormat="1" applyFont="1" applyFill="1" applyBorder="1" applyAlignment="1" applyProtection="1">
      <alignment horizontal="center" vertical="center" wrapText="1"/>
      <protection locked="0"/>
    </xf>
    <xf numFmtId="168" fontId="23" fillId="20" borderId="1" xfId="4" applyNumberFormat="1" applyFont="1" applyFill="1" applyBorder="1" applyAlignment="1" applyProtection="1">
      <alignment horizontal="center" vertical="center" wrapText="1"/>
    </xf>
    <xf numFmtId="41" fontId="23" fillId="0" borderId="1" xfId="2" applyNumberFormat="1" applyFont="1" applyFill="1" applyBorder="1" applyAlignment="1">
      <alignment horizontal="center" vertical="center"/>
    </xf>
    <xf numFmtId="49" fontId="23" fillId="33" borderId="1" xfId="1" applyNumberFormat="1" applyFont="1" applyFill="1" applyBorder="1" applyAlignment="1" applyProtection="1">
      <alignment horizontal="center" vertical="center" wrapText="1"/>
      <protection locked="0"/>
    </xf>
    <xf numFmtId="0" fontId="23" fillId="11" borderId="1" xfId="10" applyFont="1" applyFill="1" applyBorder="1" applyAlignment="1">
      <alignment horizontal="center" vertical="center" wrapText="1"/>
    </xf>
    <xf numFmtId="176" fontId="23" fillId="0" borderId="1" xfId="11" applyNumberFormat="1" applyFont="1" applyFill="1" applyBorder="1" applyAlignment="1" applyProtection="1">
      <alignment horizontal="center" vertical="center"/>
      <protection locked="0"/>
    </xf>
    <xf numFmtId="0" fontId="23" fillId="20" borderId="1" xfId="10" applyFont="1" applyFill="1" applyBorder="1" applyAlignment="1">
      <alignment horizontal="center" vertical="center" wrapText="1"/>
    </xf>
    <xf numFmtId="49" fontId="26" fillId="37" borderId="1" xfId="4" applyNumberFormat="1" applyFont="1" applyFill="1" applyBorder="1" applyAlignment="1" applyProtection="1">
      <alignment horizontal="center" vertical="center" wrapText="1"/>
    </xf>
    <xf numFmtId="170" fontId="23" fillId="0" borderId="1" xfId="1" applyNumberFormat="1" applyFont="1" applyFill="1" applyBorder="1" applyAlignment="1" applyProtection="1">
      <alignment horizontal="center" vertical="center" wrapText="1"/>
      <protection locked="0"/>
    </xf>
    <xf numFmtId="167" fontId="23" fillId="20" borderId="1" xfId="4" applyNumberFormat="1" applyFont="1" applyFill="1" applyBorder="1" applyAlignment="1" applyProtection="1">
      <alignment horizontal="center" vertical="center" wrapText="1"/>
    </xf>
    <xf numFmtId="0" fontId="23" fillId="20" borderId="1" xfId="4" applyNumberFormat="1" applyFont="1" applyFill="1" applyBorder="1" applyAlignment="1" applyProtection="1">
      <alignment horizontal="center" vertical="center" wrapText="1"/>
    </xf>
    <xf numFmtId="167" fontId="23" fillId="20" borderId="1" xfId="5" applyNumberFormat="1" applyFont="1" applyFill="1" applyBorder="1" applyAlignment="1" applyProtection="1">
      <alignment horizontal="center" vertical="center" wrapText="1"/>
    </xf>
    <xf numFmtId="49" fontId="23" fillId="37" borderId="1" xfId="4" applyNumberFormat="1" applyFont="1" applyFill="1" applyBorder="1" applyAlignment="1" applyProtection="1">
      <alignment horizontal="center" vertical="center" wrapText="1"/>
    </xf>
    <xf numFmtId="0" fontId="23" fillId="13" borderId="1" xfId="10" applyFont="1" applyFill="1" applyBorder="1" applyAlignment="1">
      <alignment horizontal="center" vertical="center" wrapText="1"/>
    </xf>
    <xf numFmtId="176" fontId="23" fillId="20" borderId="1" xfId="11"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41" fontId="23" fillId="0" borderId="1" xfId="2" applyNumberFormat="1" applyFont="1" applyBorder="1" applyAlignment="1">
      <alignment horizontal="center" vertical="center"/>
    </xf>
    <xf numFmtId="164" fontId="23" fillId="20" borderId="1" xfId="11" applyNumberFormat="1" applyFont="1" applyFill="1" applyBorder="1" applyAlignment="1" applyProtection="1">
      <alignment horizontal="center" vertical="center" wrapText="1"/>
    </xf>
    <xf numFmtId="0" fontId="23" fillId="12" borderId="1" xfId="0" applyFont="1" applyFill="1" applyBorder="1" applyAlignment="1" applyProtection="1">
      <alignment horizontal="center" vertical="center" wrapText="1"/>
      <protection locked="0"/>
    </xf>
    <xf numFmtId="41" fontId="23" fillId="20" borderId="1" xfId="2" applyFont="1" applyFill="1" applyBorder="1" applyAlignment="1">
      <alignment horizontal="center" vertical="center"/>
    </xf>
    <xf numFmtId="41" fontId="23" fillId="20" borderId="1" xfId="2" applyFont="1" applyFill="1" applyBorder="1" applyAlignment="1" applyProtection="1">
      <alignment horizontal="center" vertical="center"/>
      <protection locked="0"/>
    </xf>
    <xf numFmtId="169" fontId="23" fillId="0" borderId="1" xfId="0" applyNumberFormat="1" applyFont="1" applyFill="1" applyBorder="1" applyAlignment="1" applyProtection="1">
      <alignment horizontal="center" vertical="center"/>
      <protection locked="0"/>
    </xf>
    <xf numFmtId="41" fontId="23" fillId="0" borderId="1" xfId="2" applyFont="1" applyFill="1" applyBorder="1" applyAlignment="1" applyProtection="1">
      <alignment horizontal="center" vertical="center" wrapText="1"/>
      <protection locked="0"/>
    </xf>
    <xf numFmtId="168" fontId="23" fillId="0" borderId="1" xfId="1" applyNumberFormat="1" applyFont="1" applyFill="1" applyBorder="1" applyAlignment="1" applyProtection="1">
      <alignment horizontal="center" vertical="center" wrapText="1"/>
      <protection locked="0"/>
    </xf>
    <xf numFmtId="167" fontId="23" fillId="0" borderId="1" xfId="28" applyNumberFormat="1" applyFont="1" applyFill="1" applyBorder="1" applyAlignment="1" applyProtection="1">
      <alignment horizontal="center" vertical="center" wrapText="1"/>
      <protection locked="0"/>
    </xf>
    <xf numFmtId="176" fontId="23" fillId="20" borderId="1" xfId="1" applyNumberFormat="1" applyFont="1" applyFill="1" applyBorder="1" applyAlignment="1" applyProtection="1">
      <alignment horizontal="center" vertical="center" wrapText="1"/>
      <protection locked="0"/>
    </xf>
    <xf numFmtId="41" fontId="23" fillId="20" borderId="1" xfId="2" applyNumberFormat="1" applyFont="1" applyFill="1" applyBorder="1" applyAlignment="1" applyProtection="1">
      <alignment horizontal="center" vertical="center"/>
      <protection locked="0"/>
    </xf>
    <xf numFmtId="169" fontId="23" fillId="0" borderId="1" xfId="1" applyNumberFormat="1" applyFont="1" applyFill="1" applyBorder="1" applyAlignment="1" applyProtection="1">
      <alignment horizontal="center" vertical="center" wrapText="1"/>
      <protection locked="0"/>
    </xf>
    <xf numFmtId="3" fontId="23" fillId="0" borderId="1" xfId="1" applyNumberFormat="1" applyFont="1" applyFill="1" applyBorder="1" applyAlignment="1" applyProtection="1">
      <alignment horizontal="center" vertical="center" wrapText="1"/>
      <protection locked="0"/>
    </xf>
    <xf numFmtId="41" fontId="23" fillId="24" borderId="1" xfId="2" applyNumberFormat="1" applyFont="1" applyFill="1" applyBorder="1" applyAlignment="1" applyProtection="1">
      <alignment horizontal="center" vertical="center"/>
    </xf>
    <xf numFmtId="176" fontId="23" fillId="20" borderId="1" xfId="11" applyNumberFormat="1" applyFont="1" applyFill="1" applyBorder="1" applyAlignment="1" applyProtection="1">
      <alignment horizontal="center" vertical="center"/>
    </xf>
    <xf numFmtId="0" fontId="23" fillId="8" borderId="1" xfId="10" applyFont="1" applyFill="1" applyBorder="1" applyAlignment="1">
      <alignment horizontal="center" vertical="center" wrapText="1"/>
    </xf>
    <xf numFmtId="0" fontId="23" fillId="19" borderId="1" xfId="10" applyFont="1" applyFill="1" applyBorder="1" applyAlignment="1">
      <alignment horizontal="center" vertical="center" wrapText="1"/>
    </xf>
    <xf numFmtId="44" fontId="23" fillId="0" borderId="1" xfId="3" applyFont="1" applyFill="1" applyBorder="1" applyAlignment="1" applyProtection="1">
      <alignment horizontal="center" vertical="center"/>
      <protection locked="0"/>
    </xf>
    <xf numFmtId="171" fontId="23" fillId="0" borderId="1" xfId="3" applyNumberFormat="1" applyFont="1" applyFill="1" applyBorder="1" applyAlignment="1" applyProtection="1">
      <alignment horizontal="center" vertical="center"/>
      <protection locked="0"/>
    </xf>
    <xf numFmtId="0" fontId="23" fillId="18" borderId="1" xfId="0" applyFont="1" applyFill="1" applyBorder="1" applyAlignment="1" applyProtection="1">
      <alignment horizontal="center" vertical="center" wrapText="1"/>
      <protection locked="0"/>
    </xf>
    <xf numFmtId="171" fontId="23" fillId="0" borderId="1" xfId="3" applyNumberFormat="1" applyFont="1" applyFill="1" applyBorder="1" applyAlignment="1" applyProtection="1">
      <alignment horizontal="center" vertical="center" wrapText="1"/>
      <protection locked="0"/>
    </xf>
    <xf numFmtId="179" fontId="23" fillId="0" borderId="1" xfId="2" applyNumberFormat="1" applyFont="1" applyFill="1" applyBorder="1" applyAlignment="1" applyProtection="1">
      <alignment horizontal="center" vertical="center" wrapText="1"/>
      <protection locked="0"/>
    </xf>
    <xf numFmtId="41" fontId="23" fillId="0" borderId="1" xfId="2" applyFont="1" applyFill="1" applyBorder="1" applyAlignment="1">
      <alignment horizontal="center" vertical="center"/>
    </xf>
    <xf numFmtId="0" fontId="23" fillId="0" borderId="1" xfId="0" applyFont="1" applyFill="1" applyBorder="1" applyAlignment="1" applyProtection="1">
      <alignment horizontal="center" vertical="center"/>
      <protection locked="0"/>
    </xf>
    <xf numFmtId="171" fontId="23" fillId="0" borderId="1" xfId="0" applyNumberFormat="1" applyFont="1" applyFill="1" applyBorder="1" applyAlignment="1" applyProtection="1">
      <alignment horizontal="center" vertical="center"/>
      <protection locked="0"/>
    </xf>
    <xf numFmtId="164" fontId="23" fillId="0" borderId="3" xfId="11" applyNumberFormat="1" applyFont="1" applyFill="1" applyBorder="1" applyAlignment="1" applyProtection="1">
      <alignment horizontal="center" vertical="center"/>
      <protection locked="0"/>
    </xf>
    <xf numFmtId="167" fontId="23" fillId="15" borderId="3" xfId="1" applyNumberFormat="1" applyFont="1" applyFill="1" applyBorder="1" applyAlignment="1" applyProtection="1">
      <alignment horizontal="center" vertical="center" wrapText="1"/>
      <protection locked="0"/>
    </xf>
    <xf numFmtId="41" fontId="23" fillId="0" borderId="1" xfId="2" applyFont="1" applyFill="1" applyBorder="1" applyAlignment="1" applyProtection="1">
      <alignment horizontal="center" vertical="center"/>
    </xf>
    <xf numFmtId="3" fontId="23" fillId="0" borderId="1" xfId="0" applyNumberFormat="1" applyFont="1" applyFill="1" applyBorder="1" applyAlignment="1" applyProtection="1">
      <alignment horizontal="center" vertical="center"/>
      <protection locked="0"/>
    </xf>
    <xf numFmtId="0" fontId="23" fillId="25" borderId="1" xfId="1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179" fontId="23" fillId="0" borderId="1" xfId="2" applyNumberFormat="1" applyFont="1" applyFill="1" applyBorder="1" applyAlignment="1">
      <alignment horizontal="center" vertical="center"/>
    </xf>
    <xf numFmtId="0" fontId="28" fillId="37" borderId="1" xfId="24" applyNumberFormat="1" applyFont="1" applyFill="1" applyBorder="1" applyAlignment="1">
      <alignment horizontal="center" vertical="center"/>
    </xf>
    <xf numFmtId="0" fontId="23" fillId="26" borderId="1" xfId="10" applyFont="1" applyFill="1" applyBorder="1" applyAlignment="1">
      <alignment horizontal="center" vertical="center" wrapText="1"/>
    </xf>
    <xf numFmtId="0" fontId="23" fillId="10" borderId="1" xfId="10" applyFont="1" applyFill="1" applyBorder="1" applyAlignment="1">
      <alignment horizontal="center" vertical="center" wrapText="1"/>
    </xf>
    <xf numFmtId="179" fontId="23" fillId="0" borderId="1" xfId="2" applyNumberFormat="1" applyFont="1" applyFill="1" applyBorder="1" applyAlignment="1" applyProtection="1">
      <alignment horizontal="center" vertical="center"/>
      <protection locked="0"/>
    </xf>
    <xf numFmtId="179" fontId="23" fillId="0" borderId="0" xfId="2" applyNumberFormat="1" applyFont="1" applyFill="1" applyBorder="1" applyAlignment="1" applyProtection="1">
      <alignment horizontal="center" vertical="center"/>
      <protection locked="0"/>
    </xf>
    <xf numFmtId="0" fontId="23" fillId="23" borderId="1" xfId="10" applyFont="1" applyFill="1" applyBorder="1" applyAlignment="1">
      <alignment horizontal="center" vertical="center" wrapText="1"/>
    </xf>
    <xf numFmtId="179" fontId="23" fillId="0" borderId="1" xfId="2" applyNumberFormat="1" applyFont="1" applyFill="1" applyBorder="1" applyAlignment="1" applyProtection="1">
      <alignment horizontal="center" vertical="center"/>
    </xf>
    <xf numFmtId="41" fontId="23" fillId="0" borderId="0" xfId="2" applyNumberFormat="1" applyFont="1" applyFill="1" applyBorder="1" applyAlignment="1">
      <alignment horizontal="center" vertical="center"/>
    </xf>
    <xf numFmtId="0" fontId="28" fillId="37" borderId="1" xfId="0" applyNumberFormat="1" applyFont="1" applyFill="1" applyBorder="1" applyAlignment="1">
      <alignment horizontal="center" vertical="center" wrapText="1"/>
    </xf>
    <xf numFmtId="0" fontId="23" fillId="21" borderId="1" xfId="10" applyFont="1" applyFill="1" applyBorder="1" applyAlignment="1">
      <alignment horizontal="center" vertical="center" wrapText="1"/>
    </xf>
    <xf numFmtId="0" fontId="26" fillId="37" borderId="1" xfId="24" applyNumberFormat="1" applyFont="1" applyFill="1" applyBorder="1" applyAlignment="1">
      <alignment horizontal="center" vertical="center" wrapText="1"/>
    </xf>
    <xf numFmtId="0" fontId="23" fillId="22" borderId="1" xfId="10" applyFont="1" applyFill="1" applyBorder="1" applyAlignment="1">
      <alignment horizontal="center" vertical="center" wrapText="1"/>
    </xf>
    <xf numFmtId="41" fontId="23" fillId="0" borderId="1" xfId="0" applyNumberFormat="1" applyFont="1" applyFill="1" applyBorder="1" applyAlignment="1">
      <alignment horizontal="center" vertical="center"/>
    </xf>
    <xf numFmtId="179" fontId="23" fillId="0" borderId="1" xfId="2" applyNumberFormat="1" applyFont="1" applyFill="1" applyBorder="1" applyAlignment="1" applyProtection="1">
      <alignment horizontal="center" vertical="center" wrapText="1"/>
    </xf>
    <xf numFmtId="169" fontId="23" fillId="0" borderId="1" xfId="0" applyNumberFormat="1" applyFont="1" applyFill="1" applyBorder="1" applyAlignment="1" applyProtection="1">
      <alignment horizontal="center" vertical="center" wrapText="1"/>
      <protection locked="0"/>
    </xf>
    <xf numFmtId="49" fontId="23" fillId="20" borderId="1" xfId="4" applyNumberFormat="1" applyFont="1" applyFill="1" applyBorder="1" applyAlignment="1" applyProtection="1">
      <alignment horizontal="center" vertical="center" wrapText="1"/>
    </xf>
    <xf numFmtId="174" fontId="23" fillId="20" borderId="1" xfId="1" applyNumberFormat="1" applyFont="1" applyFill="1" applyBorder="1" applyAlignment="1" applyProtection="1">
      <alignment horizontal="center" vertical="center" wrapText="1"/>
      <protection locked="0"/>
    </xf>
    <xf numFmtId="176" fontId="23" fillId="20" borderId="1" xfId="11" applyNumberFormat="1" applyFont="1" applyFill="1" applyBorder="1" applyAlignment="1">
      <alignment horizontal="center" vertical="center"/>
    </xf>
    <xf numFmtId="0" fontId="23" fillId="7" borderId="1" xfId="10" applyFont="1" applyFill="1" applyBorder="1" applyAlignment="1">
      <alignment horizontal="center" vertical="center" wrapText="1"/>
    </xf>
    <xf numFmtId="174" fontId="23" fillId="20" borderId="1" xfId="0" applyNumberFormat="1" applyFont="1" applyFill="1" applyBorder="1" applyAlignment="1">
      <alignment horizontal="center" vertical="center"/>
    </xf>
    <xf numFmtId="164" fontId="23" fillId="20" borderId="1" xfId="11" applyNumberFormat="1" applyFont="1" applyFill="1" applyBorder="1" applyAlignment="1">
      <alignment horizontal="center" vertical="center"/>
    </xf>
    <xf numFmtId="164" fontId="23" fillId="20" borderId="1" xfId="1" applyNumberFormat="1" applyFont="1" applyFill="1" applyBorder="1" applyAlignment="1" applyProtection="1">
      <alignment horizontal="center" vertical="center" wrapText="1"/>
      <protection locked="0"/>
    </xf>
    <xf numFmtId="41" fontId="23" fillId="20" borderId="1" xfId="2" applyNumberFormat="1" applyFont="1" applyFill="1" applyBorder="1" applyAlignment="1" applyProtection="1">
      <alignment horizontal="center" vertical="center" wrapText="1"/>
      <protection locked="0"/>
    </xf>
    <xf numFmtId="176" fontId="23" fillId="20" borderId="1" xfId="0" applyNumberFormat="1" applyFont="1" applyFill="1" applyBorder="1" applyAlignment="1">
      <alignment horizontal="center" vertical="center"/>
    </xf>
    <xf numFmtId="0" fontId="23" fillId="27"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28" borderId="1" xfId="0" applyFont="1" applyFill="1" applyBorder="1" applyAlignment="1" applyProtection="1">
      <alignment horizontal="center" vertical="center" wrapText="1"/>
      <protection locked="0"/>
    </xf>
    <xf numFmtId="0" fontId="23" fillId="0" borderId="1" xfId="6" applyNumberFormat="1" applyFont="1" applyFill="1" applyBorder="1" applyAlignment="1" applyProtection="1">
      <alignment horizontal="center" vertical="center" wrapText="1"/>
      <protection locked="0"/>
    </xf>
    <xf numFmtId="14" fontId="23" fillId="0" borderId="1" xfId="0" applyNumberFormat="1" applyFont="1" applyFill="1" applyBorder="1" applyAlignment="1" applyProtection="1">
      <alignment horizontal="center" vertical="center" wrapText="1"/>
      <protection locked="0"/>
    </xf>
    <xf numFmtId="14" fontId="23" fillId="0" borderId="1" xfId="0" applyNumberFormat="1" applyFont="1" applyFill="1" applyBorder="1" applyAlignment="1" applyProtection="1">
      <alignment horizontal="center" vertical="center"/>
      <protection locked="0"/>
    </xf>
    <xf numFmtId="0" fontId="23" fillId="24"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174" fontId="23" fillId="0" borderId="1" xfId="11" applyNumberFormat="1" applyFont="1" applyFill="1" applyBorder="1" applyAlignment="1" applyProtection="1">
      <alignment horizontal="center" vertical="center"/>
      <protection locked="0"/>
    </xf>
    <xf numFmtId="176" fontId="23" fillId="0" borderId="1" xfId="1" applyNumberFormat="1" applyFont="1" applyFill="1" applyBorder="1" applyAlignment="1" applyProtection="1">
      <alignment horizontal="center" vertical="center" wrapText="1"/>
      <protection locked="0"/>
    </xf>
    <xf numFmtId="0" fontId="23" fillId="16" borderId="1" xfId="0" applyFont="1" applyFill="1" applyBorder="1" applyAlignment="1" applyProtection="1">
      <alignment horizontal="center" vertical="center" wrapText="1"/>
      <protection locked="0"/>
    </xf>
    <xf numFmtId="0" fontId="23" fillId="13" borderId="1" xfId="0" applyFont="1" applyFill="1" applyBorder="1" applyAlignment="1">
      <alignment horizontal="center" vertical="center" wrapText="1"/>
    </xf>
    <xf numFmtId="0" fontId="23" fillId="20" borderId="3" xfId="0" applyFont="1" applyFill="1" applyBorder="1" applyAlignment="1">
      <alignment horizontal="center" vertical="center"/>
    </xf>
    <xf numFmtId="0" fontId="23" fillId="11" borderId="1" xfId="0" applyFont="1" applyFill="1" applyBorder="1" applyAlignment="1">
      <alignment horizontal="center" vertical="center" wrapText="1"/>
    </xf>
    <xf numFmtId="0" fontId="23" fillId="11" borderId="1" xfId="0" applyFont="1" applyFill="1" applyBorder="1" applyAlignment="1" applyProtection="1">
      <alignment horizontal="center" vertical="center" wrapText="1"/>
      <protection locked="0"/>
    </xf>
    <xf numFmtId="49" fontId="23" fillId="0" borderId="1" xfId="0" applyNumberFormat="1" applyFont="1" applyBorder="1" applyAlignment="1">
      <alignment horizontal="center" vertical="center"/>
    </xf>
    <xf numFmtId="49" fontId="23" fillId="0" borderId="3" xfId="0" applyNumberFormat="1" applyFont="1" applyBorder="1" applyAlignment="1">
      <alignment horizontal="center" vertical="center"/>
    </xf>
    <xf numFmtId="167" fontId="23" fillId="20" borderId="4" xfId="1" applyNumberFormat="1" applyFont="1" applyFill="1" applyBorder="1" applyAlignment="1" applyProtection="1">
      <alignment horizontal="center" vertical="center" wrapText="1"/>
      <protection locked="0"/>
    </xf>
    <xf numFmtId="164" fontId="23" fillId="0" borderId="3" xfId="0" applyNumberFormat="1" applyFont="1" applyBorder="1" applyAlignment="1">
      <alignment horizontal="center" vertical="center"/>
    </xf>
    <xf numFmtId="176" fontId="29" fillId="20" borderId="1" xfId="42" applyNumberFormat="1" applyFont="1" applyFill="1" applyBorder="1" applyAlignment="1">
      <alignment horizontal="center" vertical="center"/>
    </xf>
    <xf numFmtId="167" fontId="23" fillId="19" borderId="1" xfId="1" applyNumberFormat="1" applyFont="1" applyFill="1" applyBorder="1" applyAlignment="1" applyProtection="1">
      <alignment horizontal="center" vertical="center" wrapText="1"/>
      <protection locked="0"/>
    </xf>
    <xf numFmtId="176" fontId="29" fillId="20" borderId="1" xfId="11" applyNumberFormat="1" applyFont="1" applyFill="1" applyBorder="1" applyAlignment="1">
      <alignment horizontal="center" vertical="center"/>
    </xf>
    <xf numFmtId="174" fontId="23" fillId="0" borderId="1" xfId="11" applyNumberFormat="1" applyFont="1" applyBorder="1" applyAlignment="1">
      <alignment horizontal="center" vertical="center"/>
    </xf>
    <xf numFmtId="167" fontId="23" fillId="0" borderId="4" xfId="1" applyNumberFormat="1" applyFont="1" applyFill="1" applyBorder="1" applyAlignment="1" applyProtection="1">
      <alignment horizontal="center" vertical="center" wrapText="1"/>
      <protection locked="0"/>
    </xf>
    <xf numFmtId="176" fontId="23" fillId="0" borderId="1" xfId="0" applyNumberFormat="1" applyFont="1" applyBorder="1" applyAlignment="1">
      <alignment horizontal="center" vertical="center"/>
    </xf>
    <xf numFmtId="164" fontId="23" fillId="0" borderId="3"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xf>
    <xf numFmtId="176" fontId="23" fillId="0" borderId="1" xfId="11" applyNumberFormat="1" applyFont="1" applyBorder="1" applyAlignment="1">
      <alignment horizontal="center" vertical="center"/>
    </xf>
    <xf numFmtId="164" fontId="23" fillId="0" borderId="1" xfId="0" applyNumberFormat="1" applyFont="1" applyFill="1" applyBorder="1" applyAlignment="1">
      <alignment horizontal="center" vertical="center"/>
    </xf>
    <xf numFmtId="176" fontId="23" fillId="0" borderId="1" xfId="11"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49" fontId="29" fillId="20" borderId="1" xfId="1" applyNumberFormat="1" applyFont="1" applyFill="1" applyBorder="1" applyAlignment="1" applyProtection="1">
      <alignment horizontal="center" vertical="center" wrapText="1"/>
      <protection locked="0"/>
    </xf>
    <xf numFmtId="0" fontId="28" fillId="0" borderId="1" xfId="24" applyNumberFormat="1" applyFont="1" applyFill="1" applyBorder="1" applyAlignment="1">
      <alignment horizontal="center" vertical="center"/>
    </xf>
    <xf numFmtId="41" fontId="23" fillId="0" borderId="3" xfId="2" applyFont="1" applyFill="1" applyBorder="1" applyAlignment="1">
      <alignment horizontal="center" vertical="center"/>
    </xf>
    <xf numFmtId="0" fontId="23" fillId="36" borderId="0" xfId="0" applyFont="1" applyFill="1" applyBorder="1" applyAlignment="1">
      <alignment horizontal="center" vertical="center"/>
    </xf>
    <xf numFmtId="41" fontId="23" fillId="24" borderId="1" xfId="2" applyFont="1" applyFill="1" applyBorder="1" applyAlignment="1">
      <alignment horizontal="center" vertical="center"/>
    </xf>
    <xf numFmtId="41" fontId="23" fillId="24" borderId="3" xfId="2" applyFont="1" applyFill="1" applyBorder="1" applyAlignment="1">
      <alignment horizontal="center" vertical="center"/>
    </xf>
    <xf numFmtId="0" fontId="23" fillId="6" borderId="1" xfId="1" applyNumberFormat="1" applyFont="1" applyFill="1" applyBorder="1" applyAlignment="1" applyProtection="1">
      <alignment horizontal="center" vertical="center"/>
      <protection locked="0"/>
    </xf>
    <xf numFmtId="167" fontId="23" fillId="6" borderId="1" xfId="1" applyNumberFormat="1" applyFont="1" applyFill="1" applyBorder="1" applyAlignment="1" applyProtection="1">
      <alignment horizontal="center" vertical="center" wrapText="1"/>
      <protection locked="0"/>
    </xf>
    <xf numFmtId="164" fontId="23" fillId="0" borderId="1" xfId="2" applyNumberFormat="1" applyFont="1" applyBorder="1" applyAlignment="1">
      <alignment horizontal="center" vertical="center"/>
    </xf>
    <xf numFmtId="164" fontId="23" fillId="0" borderId="1" xfId="2" applyNumberFormat="1" applyFont="1" applyFill="1" applyBorder="1" applyAlignment="1">
      <alignment horizontal="center" vertical="center"/>
    </xf>
    <xf numFmtId="164" fontId="23" fillId="0" borderId="1" xfId="11" applyNumberFormat="1" applyFont="1" applyFill="1" applyBorder="1" applyAlignment="1">
      <alignment horizontal="center" vertical="center"/>
    </xf>
    <xf numFmtId="49" fontId="23" fillId="13" borderId="1" xfId="0" applyNumberFormat="1" applyFont="1" applyFill="1" applyBorder="1" applyAlignment="1">
      <alignment horizontal="center" vertical="center"/>
    </xf>
    <xf numFmtId="174" fontId="23" fillId="0" borderId="1" xfId="11" applyNumberFormat="1" applyFont="1" applyFill="1" applyBorder="1" applyAlignment="1">
      <alignment horizontal="center" vertical="center"/>
    </xf>
    <xf numFmtId="49" fontId="27" fillId="0" borderId="1" xfId="21" applyNumberFormat="1" applyFont="1" applyFill="1" applyBorder="1" applyAlignment="1">
      <alignment horizontal="center" vertical="center"/>
    </xf>
    <xf numFmtId="164" fontId="23" fillId="0" borderId="1" xfId="1" applyNumberFormat="1" applyFont="1" applyFill="1" applyBorder="1" applyAlignment="1" applyProtection="1">
      <alignment horizontal="center" vertical="center" wrapText="1"/>
      <protection locked="0"/>
    </xf>
    <xf numFmtId="176" fontId="23" fillId="0" borderId="0" xfId="11" applyNumberFormat="1" applyFont="1" applyFill="1" applyBorder="1" applyAlignment="1" applyProtection="1">
      <alignment horizontal="center" vertical="center"/>
    </xf>
    <xf numFmtId="176" fontId="29" fillId="0" borderId="1" xfId="11" applyNumberFormat="1" applyFont="1" applyFill="1" applyBorder="1" applyAlignment="1">
      <alignment horizontal="center" vertical="center"/>
    </xf>
    <xf numFmtId="0" fontId="23" fillId="20" borderId="1" xfId="0" applyFont="1" applyFill="1" applyBorder="1" applyAlignment="1">
      <alignment horizontal="center" vertical="center"/>
    </xf>
    <xf numFmtId="0" fontId="27" fillId="0" borderId="1" xfId="0" applyFont="1" applyFill="1" applyBorder="1" applyAlignment="1">
      <alignment horizontal="center" vertical="center" wrapText="1"/>
    </xf>
    <xf numFmtId="164" fontId="29" fillId="20" borderId="1" xfId="0" applyNumberFormat="1" applyFont="1" applyFill="1" applyBorder="1" applyAlignment="1">
      <alignment horizontal="center" vertical="center"/>
    </xf>
    <xf numFmtId="174" fontId="23" fillId="20" borderId="1" xfId="11" applyNumberFormat="1" applyFont="1" applyFill="1" applyBorder="1" applyAlignment="1">
      <alignment horizontal="center" vertical="center"/>
    </xf>
    <xf numFmtId="164" fontId="29" fillId="0" borderId="1" xfId="0" applyNumberFormat="1" applyFont="1" applyBorder="1" applyAlignment="1">
      <alignment horizontal="center" vertical="center"/>
    </xf>
    <xf numFmtId="176" fontId="29" fillId="0" borderId="1" xfId="11" applyNumberFormat="1" applyFont="1" applyBorder="1" applyAlignment="1">
      <alignment horizontal="center" vertical="center"/>
    </xf>
    <xf numFmtId="0" fontId="23" fillId="0" borderId="3" xfId="0" applyFont="1" applyBorder="1" applyAlignment="1">
      <alignment horizontal="center" vertical="center" wrapText="1"/>
    </xf>
    <xf numFmtId="41" fontId="29" fillId="0" borderId="1" xfId="2" applyFont="1" applyBorder="1" applyAlignment="1">
      <alignment horizontal="center" vertical="center"/>
    </xf>
    <xf numFmtId="164" fontId="23" fillId="20" borderId="3" xfId="42" applyNumberFormat="1" applyFont="1" applyFill="1" applyBorder="1" applyAlignment="1">
      <alignment horizontal="center" vertical="center"/>
    </xf>
    <xf numFmtId="164" fontId="23" fillId="24" borderId="1" xfId="11" applyNumberFormat="1" applyFont="1" applyFill="1" applyBorder="1" applyAlignment="1">
      <alignment horizontal="center" vertical="center"/>
    </xf>
    <xf numFmtId="164" fontId="23" fillId="20" borderId="1" xfId="0" applyNumberFormat="1" applyFont="1" applyFill="1" applyBorder="1" applyAlignment="1">
      <alignment horizontal="center" vertical="center"/>
    </xf>
    <xf numFmtId="167" fontId="23" fillId="0" borderId="1" xfId="1" applyNumberFormat="1" applyFont="1" applyFill="1" applyBorder="1" applyAlignment="1" applyProtection="1">
      <alignment horizontal="center" vertical="center"/>
      <protection locked="0"/>
    </xf>
    <xf numFmtId="167" fontId="23" fillId="0" borderId="3" xfId="1" applyNumberFormat="1" applyFont="1" applyFill="1" applyBorder="1" applyAlignment="1" applyProtection="1">
      <alignment horizontal="center" vertical="center"/>
      <protection locked="0"/>
    </xf>
    <xf numFmtId="176" fontId="23" fillId="0" borderId="1" xfId="42" applyNumberFormat="1" applyFont="1" applyBorder="1" applyAlignment="1">
      <alignment horizontal="center" vertical="center"/>
    </xf>
    <xf numFmtId="0" fontId="27" fillId="0" borderId="1" xfId="0" applyFont="1" applyBorder="1" applyAlignment="1">
      <alignment horizontal="center" vertical="center" wrapText="1"/>
    </xf>
    <xf numFmtId="49" fontId="23" fillId="0" borderId="0" xfId="0" applyNumberFormat="1" applyFont="1" applyBorder="1" applyAlignment="1">
      <alignment horizontal="center" vertical="center"/>
    </xf>
    <xf numFmtId="0" fontId="23" fillId="0" borderId="0" xfId="0" applyFont="1" applyFill="1" applyBorder="1" applyAlignment="1">
      <alignment horizontal="center" vertical="center" wrapText="1"/>
    </xf>
    <xf numFmtId="41" fontId="23" fillId="0" borderId="0" xfId="2" applyFont="1" applyBorder="1" applyAlignment="1">
      <alignment horizontal="center" vertical="center"/>
    </xf>
    <xf numFmtId="41" fontId="23" fillId="0" borderId="0" xfId="2" applyFont="1" applyFill="1" applyBorder="1" applyAlignment="1">
      <alignment horizontal="center" vertical="center"/>
    </xf>
    <xf numFmtId="41" fontId="23" fillId="0" borderId="0" xfId="2" applyFont="1" applyBorder="1" applyAlignment="1">
      <alignment vertical="center"/>
    </xf>
    <xf numFmtId="0" fontId="23" fillId="0" borderId="0" xfId="0" applyFont="1" applyBorder="1" applyAlignment="1">
      <alignment vertical="center"/>
    </xf>
    <xf numFmtId="0" fontId="31" fillId="0" borderId="1" xfId="0" applyFont="1" applyFill="1" applyBorder="1" applyAlignment="1">
      <alignment horizontal="center" vertical="center" wrapText="1"/>
    </xf>
    <xf numFmtId="175" fontId="30" fillId="0" borderId="1" xfId="0" applyNumberFormat="1" applyFont="1" applyFill="1" applyBorder="1" applyAlignment="1">
      <alignment horizontal="center" vertical="center" wrapText="1"/>
    </xf>
    <xf numFmtId="167" fontId="31" fillId="8" borderId="1" xfId="4" applyNumberFormat="1" applyFont="1" applyFill="1" applyBorder="1" applyAlignment="1" applyProtection="1">
      <alignment horizontal="center" vertical="center" wrapText="1"/>
    </xf>
    <xf numFmtId="0" fontId="30" fillId="0" borderId="1" xfId="21" applyFont="1" applyFill="1" applyBorder="1" applyAlignment="1">
      <alignment horizontal="center" vertical="center" wrapText="1"/>
    </xf>
    <xf numFmtId="167" fontId="30" fillId="0" borderId="1" xfId="1" applyNumberFormat="1"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2"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32" fillId="0" borderId="15" xfId="0" applyFont="1" applyFill="1" applyBorder="1" applyAlignment="1">
      <alignment horizontal="center" vertical="center" wrapText="1"/>
    </xf>
    <xf numFmtId="1" fontId="30" fillId="0" borderId="1" xfId="13" applyNumberFormat="1" applyFont="1" applyFill="1" applyBorder="1" applyAlignment="1" applyProtection="1">
      <alignment horizontal="center" vertical="center" wrapText="1"/>
      <protection hidden="1"/>
    </xf>
    <xf numFmtId="49" fontId="30" fillId="0" borderId="0" xfId="0" applyNumberFormat="1" applyFont="1" applyFill="1" applyBorder="1" applyAlignment="1">
      <alignment horizontal="center" vertical="center" wrapText="1"/>
    </xf>
    <xf numFmtId="0" fontId="30" fillId="0" borderId="0" xfId="0" applyFont="1" applyFill="1" applyBorder="1" applyAlignment="1">
      <alignment vertical="center"/>
    </xf>
    <xf numFmtId="41" fontId="30" fillId="0" borderId="0" xfId="2" applyFont="1" applyFill="1" applyBorder="1" applyAlignment="1">
      <alignment horizontal="center" vertical="center" wrapText="1"/>
    </xf>
    <xf numFmtId="0" fontId="30" fillId="0" borderId="0" xfId="0" applyFont="1" applyFill="1" applyBorder="1" applyAlignment="1">
      <alignment horizontal="center" vertical="center" wrapText="1"/>
    </xf>
    <xf numFmtId="169" fontId="23" fillId="0" borderId="1" xfId="0" applyNumberFormat="1" applyFont="1" applyFill="1" applyBorder="1" applyAlignment="1">
      <alignment horizontal="center" vertical="center"/>
    </xf>
    <xf numFmtId="41" fontId="24" fillId="38" borderId="1" xfId="2" applyFont="1" applyFill="1" applyBorder="1" applyAlignment="1" applyProtection="1">
      <alignment horizontal="center" vertical="center" wrapText="1"/>
    </xf>
    <xf numFmtId="167" fontId="23" fillId="37" borderId="1" xfId="1" applyNumberFormat="1" applyFont="1" applyFill="1" applyBorder="1" applyAlignment="1" applyProtection="1">
      <alignment horizontal="center" vertical="center" wrapText="1"/>
      <protection locked="0"/>
    </xf>
    <xf numFmtId="164" fontId="23" fillId="11" borderId="1" xfId="11" applyNumberFormat="1" applyFont="1" applyFill="1" applyBorder="1" applyAlignment="1" applyProtection="1">
      <alignment horizontal="center" vertical="center"/>
      <protection locked="0"/>
    </xf>
    <xf numFmtId="41" fontId="23" fillId="11" borderId="1" xfId="2" applyFont="1" applyFill="1" applyBorder="1" applyAlignment="1" applyProtection="1">
      <alignment horizontal="center" vertical="center"/>
      <protection locked="0"/>
    </xf>
    <xf numFmtId="176" fontId="23" fillId="11" borderId="1" xfId="11" applyNumberFormat="1" applyFont="1" applyFill="1" applyBorder="1" applyAlignment="1" applyProtection="1">
      <alignment horizontal="center" vertical="center"/>
      <protection locked="0"/>
    </xf>
    <xf numFmtId="167" fontId="33" fillId="0" borderId="1" xfId="1" applyNumberFormat="1" applyFont="1" applyFill="1" applyBorder="1" applyAlignment="1" applyProtection="1">
      <alignment horizontal="center" vertical="center" wrapText="1"/>
      <protection locked="0"/>
    </xf>
    <xf numFmtId="0" fontId="33" fillId="16" borderId="1" xfId="0" applyFont="1" applyFill="1" applyBorder="1" applyAlignment="1" applyProtection="1">
      <alignment horizontal="center" vertical="center" wrapText="1"/>
      <protection locked="0"/>
    </xf>
    <xf numFmtId="0" fontId="33" fillId="18" borderId="1" xfId="0" applyFont="1" applyFill="1" applyBorder="1" applyAlignment="1" applyProtection="1">
      <alignment horizontal="center" vertical="center" wrapText="1"/>
      <protection locked="0"/>
    </xf>
    <xf numFmtId="167" fontId="33" fillId="15" borderId="1" xfId="1" applyNumberFormat="1" applyFont="1" applyFill="1" applyBorder="1" applyAlignment="1" applyProtection="1">
      <alignment horizontal="center" vertical="center" wrapText="1"/>
      <protection locked="0"/>
    </xf>
    <xf numFmtId="167" fontId="33" fillId="19" borderId="1" xfId="1" applyNumberFormat="1" applyFont="1" applyFill="1" applyBorder="1" applyAlignment="1" applyProtection="1">
      <alignment horizontal="center" vertical="center" wrapText="1"/>
      <protection locked="0"/>
    </xf>
    <xf numFmtId="0" fontId="33" fillId="0" borderId="0" xfId="0" applyFont="1" applyBorder="1" applyAlignment="1">
      <alignment horizontal="center" vertical="center"/>
    </xf>
    <xf numFmtId="0" fontId="33" fillId="0" borderId="9" xfId="0" applyFont="1" applyBorder="1" applyAlignment="1">
      <alignment horizontal="center" vertical="center"/>
    </xf>
    <xf numFmtId="0" fontId="33" fillId="0" borderId="0" xfId="0" applyFont="1" applyBorder="1"/>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Fill="1" applyBorder="1" applyAlignment="1">
      <alignment horizontal="center" vertical="center" wrapText="1"/>
    </xf>
    <xf numFmtId="41" fontId="33" fillId="0" borderId="1" xfId="2" applyFont="1" applyBorder="1" applyAlignment="1">
      <alignment horizontal="center" vertical="center"/>
    </xf>
    <xf numFmtId="41" fontId="33" fillId="0" borderId="1" xfId="2" applyFont="1" applyBorder="1" applyAlignment="1">
      <alignment horizontal="center" vertical="center" wrapText="1"/>
    </xf>
    <xf numFmtId="0" fontId="33" fillId="0" borderId="1" xfId="0" applyFont="1" applyBorder="1" applyAlignment="1">
      <alignment horizontal="center" vertical="center" wrapText="1"/>
    </xf>
    <xf numFmtId="3" fontId="33" fillId="0" borderId="1" xfId="8" applyNumberFormat="1" applyFont="1" applyBorder="1" applyAlignment="1">
      <alignment horizontal="center" vertical="center" wrapText="1"/>
    </xf>
    <xf numFmtId="3" fontId="33" fillId="0" borderId="1" xfId="8" applyNumberFormat="1" applyFont="1" applyBorder="1" applyAlignment="1">
      <alignment horizontal="center" vertical="center"/>
    </xf>
    <xf numFmtId="0" fontId="33" fillId="0" borderId="0"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xf>
    <xf numFmtId="175" fontId="33" fillId="0" borderId="1" xfId="0" applyNumberFormat="1" applyFont="1" applyFill="1" applyBorder="1" applyAlignment="1">
      <alignment horizontal="center" vertical="center" wrapText="1"/>
    </xf>
    <xf numFmtId="41" fontId="34" fillId="0" borderId="1" xfId="2" applyNumberFormat="1" applyFont="1" applyBorder="1" applyAlignment="1">
      <alignment horizontal="center" vertical="center"/>
    </xf>
    <xf numFmtId="41" fontId="33" fillId="6" borderId="1" xfId="2" applyFont="1" applyFill="1" applyBorder="1" applyAlignment="1">
      <alignment horizontal="center" vertical="center" wrapText="1"/>
    </xf>
    <xf numFmtId="0" fontId="33" fillId="6" borderId="1" xfId="0" applyFont="1" applyFill="1" applyBorder="1" applyAlignment="1">
      <alignment horizontal="center" vertical="center" wrapText="1"/>
    </xf>
    <xf numFmtId="41" fontId="34" fillId="14" borderId="1" xfId="2" applyNumberFormat="1" applyFont="1" applyFill="1" applyBorder="1" applyAlignment="1">
      <alignment horizontal="center" vertical="center"/>
    </xf>
    <xf numFmtId="49" fontId="34" fillId="8" borderId="1" xfId="4" applyNumberFormat="1" applyFont="1" applyFill="1" applyBorder="1" applyAlignment="1" applyProtection="1">
      <alignment horizontal="center" vertical="center" wrapText="1"/>
    </xf>
    <xf numFmtId="167" fontId="34" fillId="8" borderId="1" xfId="4" applyNumberFormat="1" applyFont="1" applyFill="1" applyBorder="1" applyAlignment="1" applyProtection="1">
      <alignment horizontal="center" vertical="center" wrapText="1"/>
    </xf>
    <xf numFmtId="41" fontId="34" fillId="9" borderId="1" xfId="2" applyFont="1" applyFill="1" applyBorder="1" applyAlignment="1" applyProtection="1">
      <alignment horizontal="center" vertical="center" wrapText="1"/>
    </xf>
    <xf numFmtId="41" fontId="34" fillId="19" borderId="1" xfId="2" applyFont="1" applyFill="1" applyBorder="1" applyAlignment="1" applyProtection="1">
      <alignment horizontal="center" vertical="center" wrapText="1"/>
    </xf>
    <xf numFmtId="41" fontId="34" fillId="14" borderId="1" xfId="2" applyFont="1" applyFill="1" applyBorder="1" applyAlignment="1" applyProtection="1">
      <alignment horizontal="center" vertical="center" wrapText="1"/>
    </xf>
    <xf numFmtId="167" fontId="34" fillId="39" borderId="1" xfId="4" applyNumberFormat="1" applyFont="1" applyFill="1" applyBorder="1" applyAlignment="1" applyProtection="1">
      <alignment horizontal="center" vertical="center" wrapText="1"/>
    </xf>
    <xf numFmtId="14" fontId="34" fillId="8" borderId="1" xfId="4" applyNumberFormat="1" applyFont="1" applyFill="1" applyBorder="1" applyAlignment="1" applyProtection="1">
      <alignment horizontal="center" vertical="center" wrapText="1"/>
    </xf>
    <xf numFmtId="41" fontId="34" fillId="13" borderId="1" xfId="2" applyFont="1" applyFill="1" applyBorder="1" applyAlignment="1" applyProtection="1">
      <alignment horizontal="center" vertical="center" wrapText="1"/>
    </xf>
    <xf numFmtId="0" fontId="36" fillId="37" borderId="1" xfId="24" applyNumberFormat="1" applyFont="1" applyFill="1" applyBorder="1" applyAlignment="1">
      <alignment horizontal="center" vertical="center"/>
    </xf>
    <xf numFmtId="0" fontId="33" fillId="14" borderId="1" xfId="10" applyFont="1" applyFill="1" applyBorder="1" applyAlignment="1">
      <alignment horizontal="center" vertical="center" wrapText="1"/>
    </xf>
    <xf numFmtId="0" fontId="33" fillId="0" borderId="1" xfId="10" applyFont="1" applyFill="1" applyBorder="1" applyAlignment="1">
      <alignment horizontal="center" vertical="center" wrapText="1"/>
    </xf>
    <xf numFmtId="164" fontId="33" fillId="0" borderId="1" xfId="11" applyNumberFormat="1" applyFont="1" applyFill="1" applyBorder="1" applyAlignment="1" applyProtection="1">
      <alignment horizontal="center" vertical="center"/>
    </xf>
    <xf numFmtId="49" fontId="33" fillId="0" borderId="1" xfId="4" applyNumberFormat="1" applyFont="1" applyFill="1" applyBorder="1" applyAlignment="1" applyProtection="1">
      <alignment horizontal="center" vertical="center" wrapText="1"/>
    </xf>
    <xf numFmtId="41" fontId="33" fillId="0" borderId="1" xfId="2" applyFont="1" applyFill="1" applyBorder="1" applyAlignment="1" applyProtection="1">
      <alignment horizontal="center" vertical="center" wrapText="1"/>
    </xf>
    <xf numFmtId="167" fontId="33" fillId="0" borderId="1" xfId="5" applyNumberFormat="1" applyFont="1" applyFill="1" applyBorder="1" applyAlignment="1" applyProtection="1">
      <alignment horizontal="center" vertical="center" wrapText="1"/>
    </xf>
    <xf numFmtId="43" fontId="33" fillId="0" borderId="1" xfId="2" applyNumberFormat="1" applyFont="1" applyFill="1" applyBorder="1" applyAlignment="1" applyProtection="1">
      <alignment horizontal="center" vertical="center" wrapText="1"/>
    </xf>
    <xf numFmtId="43" fontId="33" fillId="0" borderId="1" xfId="5" applyNumberFormat="1" applyFont="1" applyFill="1" applyBorder="1" applyAlignment="1" applyProtection="1">
      <alignment horizontal="center" vertical="center" wrapText="1"/>
    </xf>
    <xf numFmtId="0" fontId="33" fillId="0" borderId="1" xfId="5" applyNumberFormat="1" applyFont="1" applyFill="1" applyBorder="1" applyAlignment="1" applyProtection="1">
      <alignment horizontal="center" vertical="center" wrapText="1"/>
    </xf>
    <xf numFmtId="14" fontId="33" fillId="0" borderId="1" xfId="4" applyNumberFormat="1" applyFont="1" applyFill="1" applyBorder="1" applyAlignment="1" applyProtection="1">
      <alignment horizontal="center" vertical="center" wrapText="1"/>
    </xf>
    <xf numFmtId="167" fontId="33" fillId="0" borderId="1" xfId="4" applyNumberFormat="1" applyFont="1" applyFill="1" applyBorder="1" applyAlignment="1" applyProtection="1">
      <alignment horizontal="center" vertical="center" wrapText="1"/>
    </xf>
    <xf numFmtId="164" fontId="33" fillId="0" borderId="1" xfId="0" applyNumberFormat="1" applyFont="1" applyFill="1" applyBorder="1" applyAlignment="1">
      <alignment horizontal="center" vertical="center" wrapText="1"/>
    </xf>
    <xf numFmtId="41" fontId="33" fillId="0" borderId="1" xfId="2" applyFont="1" applyFill="1" applyBorder="1" applyAlignment="1">
      <alignment vertical="center" wrapText="1"/>
    </xf>
    <xf numFmtId="43" fontId="33" fillId="0" borderId="1" xfId="1" applyFont="1" applyFill="1" applyBorder="1" applyAlignment="1" applyProtection="1">
      <alignment horizontal="center" vertical="center" wrapText="1"/>
    </xf>
    <xf numFmtId="174" fontId="33" fillId="0" borderId="1" xfId="0" applyNumberFormat="1" applyFont="1" applyFill="1" applyBorder="1" applyAlignment="1">
      <alignment vertical="center" wrapText="1"/>
    </xf>
    <xf numFmtId="174" fontId="33" fillId="0" borderId="1" xfId="0" applyNumberFormat="1" applyFont="1" applyFill="1" applyBorder="1" applyAlignment="1">
      <alignment vertical="center"/>
    </xf>
    <xf numFmtId="1" fontId="33" fillId="0" borderId="1" xfId="4" applyNumberFormat="1" applyFont="1" applyFill="1" applyBorder="1" applyAlignment="1" applyProtection="1">
      <alignment horizontal="center" vertical="center" wrapText="1"/>
    </xf>
    <xf numFmtId="49" fontId="33" fillId="0" borderId="1" xfId="1" applyNumberFormat="1" applyFont="1" applyFill="1" applyBorder="1" applyAlignment="1" applyProtection="1">
      <alignment horizontal="center" vertical="center" wrapText="1"/>
      <protection locked="0"/>
    </xf>
    <xf numFmtId="0" fontId="33" fillId="11" borderId="1" xfId="10" applyFont="1" applyFill="1" applyBorder="1" applyAlignment="1">
      <alignment horizontal="center" vertical="center" wrapText="1"/>
    </xf>
    <xf numFmtId="0" fontId="33" fillId="20" borderId="1" xfId="10" applyFont="1" applyFill="1" applyBorder="1" applyAlignment="1">
      <alignment horizontal="center" vertical="center" wrapText="1"/>
    </xf>
    <xf numFmtId="49" fontId="36" fillId="37" borderId="1" xfId="4" applyNumberFormat="1" applyFont="1" applyFill="1" applyBorder="1" applyAlignment="1" applyProtection="1">
      <alignment horizontal="center" vertical="center" wrapText="1"/>
    </xf>
    <xf numFmtId="170" fontId="33" fillId="0" borderId="1" xfId="1" applyNumberFormat="1" applyFont="1" applyFill="1" applyBorder="1" applyAlignment="1" applyProtection="1">
      <alignment horizontal="center" vertical="center" wrapText="1"/>
      <protection locked="0"/>
    </xf>
    <xf numFmtId="14" fontId="33" fillId="0" borderId="1" xfId="1" applyNumberFormat="1" applyFont="1" applyFill="1" applyBorder="1" applyAlignment="1" applyProtection="1">
      <alignment horizontal="center" vertical="center" wrapText="1"/>
      <protection locked="0"/>
    </xf>
    <xf numFmtId="49" fontId="33" fillId="37" borderId="1" xfId="4" applyNumberFormat="1" applyFont="1" applyFill="1" applyBorder="1" applyAlignment="1" applyProtection="1">
      <alignment horizontal="center" vertical="center" wrapText="1"/>
    </xf>
    <xf numFmtId="0" fontId="33" fillId="13" borderId="1" xfId="1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20" borderId="0" xfId="0" applyFont="1" applyFill="1" applyBorder="1"/>
    <xf numFmtId="41" fontId="33" fillId="0" borderId="1" xfId="2" applyFont="1" applyFill="1" applyBorder="1" applyAlignment="1">
      <alignment horizontal="center" vertical="center" wrapText="1"/>
    </xf>
    <xf numFmtId="0" fontId="33" fillId="12" borderId="1" xfId="0" applyFont="1" applyFill="1" applyBorder="1" applyAlignment="1" applyProtection="1">
      <alignment horizontal="center" vertical="center" wrapText="1"/>
      <protection locked="0"/>
    </xf>
    <xf numFmtId="41" fontId="33" fillId="0" borderId="1" xfId="2" applyFont="1" applyFill="1" applyBorder="1" applyAlignment="1" applyProtection="1">
      <alignment horizontal="center" vertical="center" wrapText="1"/>
      <protection locked="0"/>
    </xf>
    <xf numFmtId="43" fontId="33" fillId="0" borderId="1" xfId="1" applyFont="1" applyFill="1" applyBorder="1" applyAlignment="1" applyProtection="1">
      <alignment horizontal="center" vertical="center" wrapText="1"/>
      <protection locked="0"/>
    </xf>
    <xf numFmtId="167" fontId="33" fillId="0" borderId="1" xfId="28" applyNumberFormat="1" applyFont="1" applyFill="1" applyBorder="1" applyAlignment="1" applyProtection="1">
      <alignment horizontal="center" vertical="center" wrapText="1"/>
      <protection locked="0"/>
    </xf>
    <xf numFmtId="0" fontId="33" fillId="19" borderId="1" xfId="10" applyFont="1" applyFill="1" applyBorder="1" applyAlignment="1">
      <alignment horizontal="center" vertical="center" wrapText="1"/>
    </xf>
    <xf numFmtId="43" fontId="33" fillId="0" borderId="1" xfId="1" applyNumberFormat="1" applyFont="1" applyFill="1" applyBorder="1" applyAlignment="1" applyProtection="1">
      <alignment horizontal="center" vertical="center" wrapText="1"/>
      <protection locked="0"/>
    </xf>
    <xf numFmtId="171" fontId="33" fillId="0" borderId="1" xfId="3" applyNumberFormat="1" applyFont="1" applyFill="1" applyBorder="1" applyAlignment="1" applyProtection="1">
      <alignment horizontal="center" vertical="center" wrapText="1"/>
      <protection locked="0"/>
    </xf>
    <xf numFmtId="167" fontId="33" fillId="15" borderId="3" xfId="1" applyNumberFormat="1" applyFont="1" applyFill="1" applyBorder="1" applyAlignment="1" applyProtection="1">
      <alignment horizontal="center" vertical="center" wrapText="1"/>
      <protection locked="0"/>
    </xf>
    <xf numFmtId="43" fontId="33" fillId="0" borderId="1" xfId="2" applyNumberFormat="1" applyFont="1" applyFill="1" applyBorder="1" applyAlignment="1" applyProtection="1">
      <alignment horizontal="center" vertical="center" wrapText="1"/>
      <protection locked="0"/>
    </xf>
    <xf numFmtId="0" fontId="33" fillId="25" borderId="1" xfId="1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0" fontId="37" fillId="37" borderId="1" xfId="24" applyNumberFormat="1" applyFont="1" applyFill="1" applyBorder="1" applyAlignment="1">
      <alignment horizontal="center" vertical="center"/>
    </xf>
    <xf numFmtId="0" fontId="33" fillId="26" borderId="1" xfId="10" applyFont="1" applyFill="1" applyBorder="1" applyAlignment="1">
      <alignment horizontal="center" vertical="center" wrapText="1"/>
    </xf>
    <xf numFmtId="0" fontId="33" fillId="10" borderId="1" xfId="10" applyFont="1" applyFill="1" applyBorder="1" applyAlignment="1">
      <alignment horizontal="center" vertical="center" wrapText="1"/>
    </xf>
    <xf numFmtId="0" fontId="33" fillId="23" borderId="1" xfId="10" applyFont="1" applyFill="1" applyBorder="1" applyAlignment="1">
      <alignment horizontal="center" vertical="center" wrapText="1"/>
    </xf>
    <xf numFmtId="0" fontId="37" fillId="37" borderId="1" xfId="0" applyNumberFormat="1" applyFont="1" applyFill="1" applyBorder="1" applyAlignment="1">
      <alignment horizontal="center" vertical="center" wrapText="1"/>
    </xf>
    <xf numFmtId="0" fontId="33" fillId="21" borderId="1" xfId="10" applyFont="1" applyFill="1" applyBorder="1" applyAlignment="1">
      <alignment horizontal="center" vertical="center" wrapText="1"/>
    </xf>
    <xf numFmtId="0" fontId="36" fillId="37" borderId="1" xfId="24" applyNumberFormat="1" applyFont="1" applyFill="1" applyBorder="1" applyAlignment="1">
      <alignment horizontal="center" vertical="center" wrapText="1"/>
    </xf>
    <xf numFmtId="0" fontId="33" fillId="22" borderId="1" xfId="10" applyFont="1" applyFill="1" applyBorder="1" applyAlignment="1">
      <alignment horizontal="center" vertical="center" wrapText="1"/>
    </xf>
    <xf numFmtId="1" fontId="33" fillId="0" borderId="1" xfId="1" applyNumberFormat="1" applyFont="1" applyFill="1" applyBorder="1" applyAlignment="1" applyProtection="1">
      <alignment horizontal="center" vertical="center" wrapText="1"/>
      <protection locked="0"/>
    </xf>
    <xf numFmtId="41" fontId="34" fillId="0" borderId="1" xfId="2" applyFont="1" applyFill="1" applyBorder="1" applyAlignment="1" applyProtection="1">
      <alignment horizontal="center" vertical="center" wrapText="1"/>
      <protection locked="0"/>
    </xf>
    <xf numFmtId="49" fontId="33" fillId="20" borderId="1" xfId="4" applyNumberFormat="1" applyFont="1" applyFill="1" applyBorder="1" applyAlignment="1" applyProtection="1">
      <alignment horizontal="center" vertical="center" wrapText="1"/>
    </xf>
    <xf numFmtId="0" fontId="33" fillId="5" borderId="1" xfId="10" applyFont="1" applyFill="1" applyBorder="1" applyAlignment="1">
      <alignment horizontal="center" vertical="center" wrapText="1"/>
    </xf>
    <xf numFmtId="43" fontId="33" fillId="0" borderId="1" xfId="0" applyNumberFormat="1" applyFont="1" applyFill="1" applyBorder="1" applyAlignment="1">
      <alignment horizontal="center" vertical="center" wrapText="1"/>
    </xf>
    <xf numFmtId="43" fontId="33" fillId="0" borderId="1" xfId="2" applyNumberFormat="1" applyFont="1" applyFill="1" applyBorder="1" applyAlignment="1">
      <alignment horizontal="center" vertical="center" wrapText="1"/>
    </xf>
    <xf numFmtId="0" fontId="33" fillId="0" borderId="1" xfId="0" applyFont="1" applyFill="1" applyBorder="1" applyAlignment="1">
      <alignment wrapText="1"/>
    </xf>
    <xf numFmtId="0" fontId="33" fillId="7" borderId="1" xfId="10" applyFont="1" applyFill="1" applyBorder="1" applyAlignment="1">
      <alignment horizontal="center" vertical="top" wrapText="1"/>
    </xf>
    <xf numFmtId="49" fontId="33" fillId="0"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0" fontId="33" fillId="7" borderId="1" xfId="10" applyFont="1" applyFill="1" applyBorder="1" applyAlignment="1">
      <alignment horizontal="center" vertical="center" wrapText="1"/>
    </xf>
    <xf numFmtId="0" fontId="33" fillId="8" borderId="1" xfId="10" applyFont="1" applyFill="1" applyBorder="1" applyAlignment="1">
      <alignment horizontal="center" vertical="center" wrapText="1"/>
    </xf>
    <xf numFmtId="0" fontId="33" fillId="28" borderId="1" xfId="0" applyFont="1" applyFill="1" applyBorder="1" applyAlignment="1" applyProtection="1">
      <alignment horizontal="center" vertical="center" wrapText="1"/>
      <protection locked="0"/>
    </xf>
    <xf numFmtId="167" fontId="33" fillId="37" borderId="1" xfId="1" applyNumberFormat="1" applyFont="1" applyFill="1" applyBorder="1" applyAlignment="1" applyProtection="1">
      <alignment horizontal="center" vertical="center" wrapText="1"/>
      <protection locked="0"/>
    </xf>
    <xf numFmtId="170" fontId="33" fillId="37" borderId="1" xfId="1" applyNumberFormat="1" applyFont="1" applyFill="1" applyBorder="1" applyAlignment="1" applyProtection="1">
      <alignment horizontal="center" vertical="center" wrapText="1"/>
      <protection locked="0"/>
    </xf>
    <xf numFmtId="41" fontId="33" fillId="37" borderId="1" xfId="2" applyFont="1" applyFill="1" applyBorder="1" applyAlignment="1" applyProtection="1">
      <alignment horizontal="center" vertical="center" wrapText="1"/>
      <protection locked="0"/>
    </xf>
    <xf numFmtId="0" fontId="33" fillId="0" borderId="1" xfId="1" applyNumberFormat="1" applyFont="1" applyFill="1" applyBorder="1" applyAlignment="1" applyProtection="1">
      <alignment horizontal="center" vertical="center" wrapText="1"/>
      <protection locked="0"/>
    </xf>
    <xf numFmtId="0" fontId="33" fillId="27" borderId="1" xfId="0" applyFont="1" applyFill="1" applyBorder="1" applyAlignment="1">
      <alignment horizontal="center" vertical="center" wrapText="1"/>
    </xf>
    <xf numFmtId="49" fontId="33" fillId="0" borderId="1" xfId="2" applyNumberFormat="1" applyFont="1" applyFill="1" applyBorder="1" applyAlignment="1" applyProtection="1">
      <alignment horizontal="center" vertical="center" wrapText="1"/>
      <protection locked="0"/>
    </xf>
    <xf numFmtId="0" fontId="33" fillId="17" borderId="1" xfId="0" applyFont="1" applyFill="1" applyBorder="1" applyAlignment="1">
      <alignment horizontal="center" vertical="center" wrapText="1"/>
    </xf>
    <xf numFmtId="1" fontId="33" fillId="0" borderId="1" xfId="2" applyNumberFormat="1" applyFont="1" applyFill="1" applyBorder="1" applyAlignment="1" applyProtection="1">
      <alignment horizontal="center" vertical="center" wrapText="1"/>
      <protection locked="0"/>
    </xf>
    <xf numFmtId="0" fontId="33" fillId="24" borderId="1" xfId="0" applyFont="1" applyFill="1" applyBorder="1" applyAlignment="1">
      <alignment horizontal="center" vertical="center" wrapText="1"/>
    </xf>
    <xf numFmtId="0" fontId="33" fillId="13" borderId="1" xfId="0" applyFont="1" applyFill="1" applyBorder="1" applyAlignment="1">
      <alignment horizontal="center" vertical="center" wrapText="1"/>
    </xf>
    <xf numFmtId="0" fontId="33" fillId="20" borderId="3" xfId="0" applyFont="1" applyFill="1" applyBorder="1" applyAlignment="1">
      <alignment horizontal="center" vertical="center"/>
    </xf>
    <xf numFmtId="0" fontId="33" fillId="11" borderId="1" xfId="0" applyFont="1" applyFill="1" applyBorder="1" applyAlignment="1" applyProtection="1">
      <alignment horizontal="center" vertical="center" wrapText="1"/>
      <protection locked="0"/>
    </xf>
    <xf numFmtId="43" fontId="33" fillId="37" borderId="1" xfId="0" applyNumberFormat="1" applyFont="1" applyFill="1" applyBorder="1" applyAlignment="1">
      <alignment horizontal="center" vertical="center" wrapText="1"/>
    </xf>
    <xf numFmtId="49" fontId="33" fillId="0" borderId="1"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20" borderId="1" xfId="1" applyNumberFormat="1" applyFont="1" applyFill="1" applyBorder="1" applyAlignment="1" applyProtection="1">
      <alignment horizontal="center" vertical="center" wrapText="1"/>
      <protection locked="0"/>
    </xf>
    <xf numFmtId="0" fontId="33" fillId="0" borderId="1" xfId="21"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3" xfId="0" applyFont="1" applyBorder="1" applyAlignment="1">
      <alignment vertical="center"/>
    </xf>
    <xf numFmtId="0" fontId="33" fillId="0" borderId="8" xfId="0" applyFont="1" applyBorder="1" applyAlignment="1">
      <alignment horizontal="center" vertical="center"/>
    </xf>
    <xf numFmtId="49" fontId="38" fillId="0" borderId="1" xfId="0" applyNumberFormat="1" applyFont="1" applyFill="1" applyBorder="1" applyAlignment="1">
      <alignment horizontal="center" vertical="center"/>
    </xf>
    <xf numFmtId="41" fontId="33" fillId="0" borderId="1" xfId="0" applyNumberFormat="1" applyFont="1" applyFill="1" applyBorder="1" applyAlignment="1">
      <alignment vertical="center" wrapText="1"/>
    </xf>
    <xf numFmtId="0" fontId="37" fillId="0" borderId="1" xfId="24" applyNumberFormat="1" applyFont="1" applyFill="1" applyBorder="1" applyAlignment="1">
      <alignment horizontal="center" vertical="center"/>
    </xf>
    <xf numFmtId="41" fontId="33" fillId="37" borderId="1" xfId="2" applyFont="1" applyFill="1" applyBorder="1" applyAlignment="1">
      <alignment horizontal="center" vertical="center" wrapText="1"/>
    </xf>
    <xf numFmtId="0" fontId="33" fillId="36" borderId="0" xfId="0" applyFont="1" applyFill="1" applyBorder="1" applyAlignment="1">
      <alignment horizontal="center" vertical="center"/>
    </xf>
    <xf numFmtId="0" fontId="33" fillId="0" borderId="2" xfId="0" applyFont="1" applyFill="1" applyBorder="1" applyAlignment="1" applyProtection="1">
      <alignment horizontal="center" vertical="center" wrapText="1"/>
      <protection locked="0"/>
    </xf>
    <xf numFmtId="0" fontId="33" fillId="0" borderId="15" xfId="0" applyFont="1" applyFill="1" applyBorder="1" applyAlignment="1" applyProtection="1">
      <alignment horizontal="center" vertical="center" wrapText="1"/>
      <protection locked="0"/>
    </xf>
    <xf numFmtId="164" fontId="33" fillId="0" borderId="1" xfId="0" applyNumberFormat="1" applyFont="1" applyFill="1" applyBorder="1" applyAlignment="1">
      <alignment horizontal="right" vertical="center" wrapText="1"/>
    </xf>
    <xf numFmtId="49" fontId="33" fillId="0" borderId="1" xfId="2" applyNumberFormat="1" applyFont="1" applyFill="1" applyBorder="1" applyAlignment="1">
      <alignment horizontal="center" vertical="center" wrapText="1"/>
    </xf>
    <xf numFmtId="49" fontId="33" fillId="13" borderId="1" xfId="0" applyNumberFormat="1" applyFont="1" applyFill="1" applyBorder="1" applyAlignment="1">
      <alignment horizontal="center" vertical="center"/>
    </xf>
    <xf numFmtId="49" fontId="38" fillId="0" borderId="1" xfId="21" applyNumberFormat="1" applyFont="1" applyFill="1" applyBorder="1" applyAlignment="1">
      <alignment horizontal="center" vertical="center"/>
    </xf>
    <xf numFmtId="0" fontId="33" fillId="20" borderId="1" xfId="0" applyFont="1" applyFill="1" applyBorder="1" applyAlignment="1">
      <alignment horizontal="center" vertical="center"/>
    </xf>
    <xf numFmtId="0" fontId="38" fillId="0" borderId="1" xfId="0" applyFont="1" applyFill="1" applyBorder="1" applyAlignment="1">
      <alignment horizontal="center" vertical="center" wrapText="1"/>
    </xf>
    <xf numFmtId="22" fontId="33" fillId="0" borderId="1" xfId="0" applyNumberFormat="1" applyFont="1" applyFill="1" applyBorder="1" applyAlignment="1">
      <alignment horizontal="center" vertical="center" wrapText="1"/>
    </xf>
    <xf numFmtId="0" fontId="33" fillId="0" borderId="3" xfId="0" applyFont="1" applyBorder="1" applyAlignment="1">
      <alignment horizontal="center" vertical="center" wrapText="1"/>
    </xf>
    <xf numFmtId="0" fontId="38" fillId="0" borderId="15" xfId="0" applyFont="1" applyFill="1" applyBorder="1" applyAlignment="1">
      <alignment horizontal="center" vertical="center" wrapText="1"/>
    </xf>
    <xf numFmtId="41" fontId="33" fillId="0" borderId="0" xfId="2" applyFont="1" applyFill="1" applyBorder="1" applyAlignment="1">
      <alignment horizontal="center" vertical="center" wrapText="1"/>
    </xf>
    <xf numFmtId="1" fontId="33" fillId="0" borderId="1" xfId="13" applyNumberFormat="1" applyFont="1" applyFill="1" applyBorder="1" applyAlignment="1" applyProtection="1">
      <alignment horizontal="center" vertical="center" wrapText="1"/>
      <protection hidden="1"/>
    </xf>
    <xf numFmtId="167" fontId="33" fillId="0" borderId="1" xfId="1" applyNumberFormat="1" applyFont="1" applyFill="1" applyBorder="1" applyAlignment="1" applyProtection="1">
      <alignment horizontal="center" vertical="center"/>
      <protection locked="0"/>
    </xf>
    <xf numFmtId="167" fontId="33" fillId="0" borderId="3" xfId="1" applyNumberFormat="1" applyFont="1" applyFill="1" applyBorder="1" applyAlignment="1" applyProtection="1">
      <alignment horizontal="center" vertical="center"/>
      <protection locked="0"/>
    </xf>
    <xf numFmtId="41" fontId="33" fillId="0" borderId="3" xfId="2" applyFont="1" applyBorder="1" applyAlignment="1">
      <alignment horizontal="center" vertical="center"/>
    </xf>
    <xf numFmtId="0" fontId="33" fillId="37" borderId="1" xfId="0" applyFont="1" applyFill="1" applyBorder="1" applyAlignment="1">
      <alignment horizontal="center" vertical="center" wrapText="1"/>
    </xf>
    <xf numFmtId="1" fontId="33" fillId="0" borderId="1" xfId="2" applyNumberFormat="1" applyFont="1" applyFill="1" applyBorder="1" applyAlignment="1">
      <alignment horizontal="center" vertical="center" wrapText="1"/>
    </xf>
    <xf numFmtId="49" fontId="33" fillId="0" borderId="0" xfId="0" applyNumberFormat="1" applyFont="1" applyBorder="1" applyAlignment="1">
      <alignment horizontal="center" vertical="center"/>
    </xf>
    <xf numFmtId="0" fontId="33" fillId="0" borderId="0" xfId="0" applyFont="1" applyFill="1" applyBorder="1" applyAlignment="1">
      <alignment horizontal="center" vertical="center" wrapText="1"/>
    </xf>
    <xf numFmtId="41" fontId="33" fillId="0" borderId="0" xfId="2" applyFont="1" applyFill="1" applyBorder="1" applyAlignment="1">
      <alignment horizontal="center" vertical="center"/>
    </xf>
    <xf numFmtId="41" fontId="33" fillId="0" borderId="0" xfId="2" applyFont="1" applyBorder="1" applyAlignment="1">
      <alignment horizontal="center" vertical="center"/>
    </xf>
    <xf numFmtId="0" fontId="33" fillId="0" borderId="0" xfId="0" applyFont="1" applyFill="1" applyBorder="1" applyAlignment="1">
      <alignment wrapText="1"/>
    </xf>
    <xf numFmtId="174" fontId="33" fillId="0" borderId="0" xfId="0" applyNumberFormat="1" applyFont="1" applyFill="1" applyBorder="1" applyAlignment="1">
      <alignment vertical="center"/>
    </xf>
    <xf numFmtId="41" fontId="33" fillId="6" borderId="0" xfId="2" applyFont="1" applyFill="1" applyBorder="1" applyAlignment="1">
      <alignment horizontal="center" vertical="center" wrapText="1"/>
    </xf>
    <xf numFmtId="0" fontId="33" fillId="0" borderId="0" xfId="0" applyFont="1" applyFill="1" applyBorder="1"/>
    <xf numFmtId="49" fontId="33" fillId="0" borderId="0" xfId="0" applyNumberFormat="1" applyFont="1" applyFill="1" applyBorder="1" applyAlignment="1">
      <alignment horizontal="center" vertical="center" wrapText="1"/>
    </xf>
    <xf numFmtId="164" fontId="33" fillId="0" borderId="1" xfId="11" applyNumberFormat="1" applyFont="1" applyFill="1" applyBorder="1" applyAlignment="1" applyProtection="1">
      <alignment horizontal="center" vertical="center"/>
      <protection locked="0"/>
    </xf>
    <xf numFmtId="41" fontId="33" fillId="0" borderId="0" xfId="2" applyFont="1" applyFill="1" applyBorder="1" applyAlignment="1">
      <alignment vertical="center" wrapText="1"/>
    </xf>
    <xf numFmtId="41" fontId="33" fillId="0" borderId="0" xfId="2" applyFont="1" applyFill="1" applyBorder="1" applyAlignment="1">
      <alignment vertical="center"/>
    </xf>
    <xf numFmtId="0" fontId="33" fillId="0" borderId="0" xfId="0" applyFont="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7" fillId="0" borderId="0" xfId="0" applyFont="1" applyFill="1" applyAlignment="1">
      <alignment wrapText="1"/>
    </xf>
    <xf numFmtId="41" fontId="33" fillId="0" borderId="0" xfId="0" applyNumberFormat="1" applyFont="1" applyFill="1" applyBorder="1" applyAlignment="1">
      <alignment wrapText="1"/>
    </xf>
    <xf numFmtId="41" fontId="33" fillId="0" borderId="0" xfId="2" applyFont="1" applyFill="1" applyBorder="1" applyAlignment="1">
      <alignment wrapText="1"/>
    </xf>
    <xf numFmtId="41" fontId="33" fillId="0" borderId="0" xfId="2" applyFont="1" applyBorder="1"/>
    <xf numFmtId="41" fontId="33" fillId="0" borderId="0" xfId="2" applyFont="1" applyFill="1" applyBorder="1"/>
    <xf numFmtId="165" fontId="33" fillId="0" borderId="0" xfId="0" applyNumberFormat="1" applyFont="1" applyFill="1" applyBorder="1" applyAlignment="1">
      <alignment horizontal="center" vertical="center" wrapText="1"/>
    </xf>
    <xf numFmtId="41" fontId="33" fillId="0" borderId="0" xfId="2" applyFont="1" applyBorder="1" applyAlignment="1">
      <alignment horizontal="center" vertical="center" wrapText="1"/>
    </xf>
    <xf numFmtId="0" fontId="33" fillId="0" borderId="0" xfId="0" applyFont="1" applyBorder="1" applyAlignment="1">
      <alignment horizontal="center" vertical="center" wrapText="1"/>
    </xf>
    <xf numFmtId="41" fontId="33" fillId="0" borderId="0" xfId="2" applyFont="1" applyBorder="1" applyAlignment="1">
      <alignment wrapText="1"/>
    </xf>
    <xf numFmtId="0" fontId="33" fillId="0" borderId="0" xfId="0" applyFont="1" applyBorder="1" applyAlignment="1">
      <alignment wrapText="1"/>
    </xf>
    <xf numFmtId="0" fontId="23" fillId="0" borderId="1" xfId="0" applyFont="1" applyBorder="1" applyAlignment="1">
      <alignment horizontal="center" vertical="center"/>
    </xf>
    <xf numFmtId="0" fontId="30" fillId="0" borderId="1" xfId="0" applyFont="1" applyFill="1" applyBorder="1" applyAlignment="1">
      <alignment horizontal="center" vertical="center" wrapText="1"/>
    </xf>
    <xf numFmtId="164" fontId="23" fillId="0" borderId="1" xfId="0" applyNumberFormat="1" applyFont="1" applyBorder="1" applyAlignment="1">
      <alignment horizontal="center" vertical="center"/>
    </xf>
    <xf numFmtId="41" fontId="23" fillId="0" borderId="1" xfId="2" applyFont="1" applyBorder="1" applyAlignment="1">
      <alignment horizontal="center" vertical="center"/>
    </xf>
    <xf numFmtId="0" fontId="33" fillId="0" borderId="1" xfId="0" applyFont="1" applyFill="1" applyBorder="1" applyAlignment="1">
      <alignment horizontal="center" vertical="center" wrapText="1"/>
    </xf>
    <xf numFmtId="41" fontId="41" fillId="13" borderId="1" xfId="2" applyFont="1" applyFill="1" applyBorder="1" applyAlignment="1" applyProtection="1">
      <alignment horizontal="center" vertical="center" wrapText="1"/>
    </xf>
    <xf numFmtId="41" fontId="24" fillId="13" borderId="1" xfId="2" applyFont="1" applyFill="1" applyBorder="1" applyAlignment="1" applyProtection="1">
      <alignment horizontal="center" vertical="center" wrapText="1"/>
    </xf>
    <xf numFmtId="0" fontId="27" fillId="0" borderId="0" xfId="0" applyFont="1" applyAlignment="1">
      <alignment horizontal="center" vertical="center" wrapText="1"/>
    </xf>
    <xf numFmtId="0" fontId="23" fillId="20" borderId="0" xfId="0" applyFont="1" applyFill="1" applyBorder="1" applyAlignment="1">
      <alignment vertical="center"/>
    </xf>
    <xf numFmtId="0" fontId="23" fillId="0" borderId="1" xfId="0" applyFont="1" applyFill="1" applyBorder="1" applyAlignment="1">
      <alignment vertical="center"/>
    </xf>
    <xf numFmtId="0" fontId="23" fillId="0" borderId="0" xfId="0" applyFont="1" applyFill="1" applyBorder="1" applyAlignment="1">
      <alignment vertical="center"/>
    </xf>
    <xf numFmtId="41" fontId="23" fillId="0" borderId="0" xfId="2" applyFont="1" applyFill="1" applyBorder="1" applyAlignment="1">
      <alignment vertical="center"/>
    </xf>
    <xf numFmtId="0" fontId="28" fillId="0" borderId="16" xfId="0" applyFont="1" applyBorder="1" applyAlignment="1">
      <alignment horizontal="left" vertical="center"/>
    </xf>
    <xf numFmtId="0" fontId="33" fillId="20" borderId="3" xfId="10" applyFont="1" applyFill="1" applyBorder="1" applyAlignment="1">
      <alignment horizontal="center" vertical="center" wrapText="1"/>
    </xf>
    <xf numFmtId="170" fontId="33" fillId="0" borderId="0" xfId="1" applyNumberFormat="1"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13" borderId="1" xfId="0" applyFont="1" applyFill="1" applyBorder="1" applyAlignment="1">
      <alignment horizontal="center" vertical="center"/>
    </xf>
    <xf numFmtId="0" fontId="33" fillId="40" borderId="1" xfId="0" applyFont="1" applyFill="1" applyBorder="1" applyAlignment="1">
      <alignment horizontal="center" vertical="center"/>
    </xf>
    <xf numFmtId="0" fontId="33" fillId="6" borderId="1" xfId="0" applyFont="1" applyFill="1" applyBorder="1" applyAlignment="1">
      <alignment horizontal="center" vertical="center"/>
    </xf>
    <xf numFmtId="1" fontId="33" fillId="0" borderId="1" xfId="0" applyNumberFormat="1" applyFont="1" applyFill="1" applyBorder="1" applyAlignment="1">
      <alignment horizontal="center" vertical="center" wrapText="1"/>
    </xf>
    <xf numFmtId="41" fontId="33" fillId="20" borderId="1" xfId="2" applyFont="1" applyFill="1" applyBorder="1" applyAlignment="1" applyProtection="1">
      <alignment horizontal="center" vertical="center" wrapText="1"/>
      <protection locked="0"/>
    </xf>
    <xf numFmtId="167" fontId="33" fillId="20" borderId="1" xfId="5" applyNumberFormat="1" applyFont="1" applyFill="1" applyBorder="1" applyAlignment="1" applyProtection="1">
      <alignment horizontal="center" vertical="center" wrapText="1"/>
    </xf>
    <xf numFmtId="41" fontId="33" fillId="20" borderId="1" xfId="2" applyFont="1" applyFill="1" applyBorder="1" applyAlignment="1" applyProtection="1">
      <alignment horizontal="center" vertical="center" wrapText="1"/>
    </xf>
    <xf numFmtId="43" fontId="33" fillId="20" borderId="1" xfId="5" applyNumberFormat="1" applyFont="1" applyFill="1" applyBorder="1" applyAlignment="1" applyProtection="1">
      <alignment horizontal="center" vertical="center" wrapText="1"/>
    </xf>
    <xf numFmtId="0" fontId="33" fillId="0" borderId="1" xfId="0" applyFont="1" applyBorder="1" applyAlignment="1">
      <alignment horizontal="center" vertical="center"/>
    </xf>
    <xf numFmtId="0" fontId="33" fillId="0" borderId="1" xfId="0" applyFont="1" applyFill="1" applyBorder="1" applyAlignment="1">
      <alignment horizontal="center" vertical="center" wrapText="1"/>
    </xf>
    <xf numFmtId="3" fontId="42" fillId="0" borderId="1" xfId="8" applyNumberFormat="1" applyFont="1" applyBorder="1" applyAlignment="1">
      <alignment horizontal="center" vertical="center"/>
    </xf>
    <xf numFmtId="168" fontId="43" fillId="8" borderId="1" xfId="4" applyNumberFormat="1" applyFont="1" applyFill="1" applyBorder="1" applyAlignment="1" applyProtection="1">
      <alignment horizontal="center" vertical="center" wrapText="1"/>
    </xf>
    <xf numFmtId="168" fontId="42" fillId="20" borderId="1" xfId="4" applyNumberFormat="1" applyFont="1" applyFill="1" applyBorder="1" applyAlignment="1" applyProtection="1">
      <alignment horizontal="center" vertical="center" wrapText="1"/>
    </xf>
    <xf numFmtId="168" fontId="42" fillId="0" borderId="1" xfId="1" applyNumberFormat="1" applyFont="1" applyFill="1" applyBorder="1" applyAlignment="1" applyProtection="1">
      <alignment horizontal="center" vertical="center" wrapText="1"/>
      <protection locked="0"/>
    </xf>
    <xf numFmtId="168" fontId="42" fillId="0" borderId="1" xfId="1" applyNumberFormat="1" applyFont="1" applyFill="1" applyBorder="1" applyAlignment="1" applyProtection="1">
      <alignment horizontal="center" vertical="center"/>
      <protection locked="0"/>
    </xf>
    <xf numFmtId="49" fontId="42" fillId="0" borderId="1" xfId="1" applyNumberFormat="1" applyFont="1" applyFill="1" applyBorder="1" applyAlignment="1" applyProtection="1">
      <alignment horizontal="center" vertical="center" wrapText="1"/>
      <protection locked="0"/>
    </xf>
    <xf numFmtId="43" fontId="42" fillId="0" borderId="1" xfId="1" applyFont="1" applyFill="1" applyBorder="1" applyAlignment="1" applyProtection="1">
      <alignment horizontal="center" vertical="center"/>
      <protection locked="0"/>
    </xf>
    <xf numFmtId="43" fontId="42" fillId="0" borderId="1" xfId="1" applyFont="1" applyFill="1" applyBorder="1" applyAlignment="1" applyProtection="1">
      <alignment horizontal="center" vertical="center" wrapText="1"/>
      <protection locked="0"/>
    </xf>
    <xf numFmtId="0" fontId="42" fillId="0" borderId="1" xfId="0" applyFont="1" applyBorder="1" applyAlignment="1">
      <alignment horizontal="center" vertical="center" wrapText="1"/>
    </xf>
    <xf numFmtId="0" fontId="42" fillId="0" borderId="1" xfId="0" applyFont="1" applyBorder="1" applyAlignment="1">
      <alignment horizontal="center" vertical="center"/>
    </xf>
    <xf numFmtId="0" fontId="42" fillId="0" borderId="1" xfId="0" applyFont="1" applyFill="1" applyBorder="1" applyAlignment="1">
      <alignment horizontal="center" vertical="center" wrapText="1"/>
    </xf>
    <xf numFmtId="0" fontId="42" fillId="20" borderId="1" xfId="0" applyFont="1" applyFill="1" applyBorder="1" applyAlignment="1">
      <alignment horizontal="center" vertical="center" wrapText="1"/>
    </xf>
    <xf numFmtId="0" fontId="42" fillId="0" borderId="0" xfId="0" applyFont="1" applyBorder="1" applyAlignment="1">
      <alignment vertical="center"/>
    </xf>
    <xf numFmtId="41" fontId="42" fillId="0" borderId="0" xfId="2" applyFont="1" applyBorder="1" applyAlignment="1">
      <alignment horizontal="center" vertical="center"/>
    </xf>
    <xf numFmtId="41" fontId="42" fillId="0" borderId="0" xfId="2" applyFont="1" applyBorder="1" applyAlignment="1">
      <alignment vertical="center"/>
    </xf>
    <xf numFmtId="168" fontId="23" fillId="20" borderId="2" xfId="4" applyNumberFormat="1" applyFont="1" applyFill="1" applyBorder="1" applyAlignment="1" applyProtection="1">
      <alignment horizontal="center" vertical="center" wrapText="1"/>
    </xf>
    <xf numFmtId="168" fontId="23" fillId="0" borderId="2" xfId="1" applyNumberFormat="1" applyFont="1" applyFill="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41" fontId="33" fillId="36" borderId="1" xfId="2" applyFont="1" applyFill="1" applyBorder="1" applyAlignment="1" applyProtection="1">
      <alignment horizontal="center" vertical="center" wrapText="1"/>
    </xf>
    <xf numFmtId="167" fontId="33" fillId="36" borderId="1" xfId="5" applyNumberFormat="1" applyFont="1" applyFill="1" applyBorder="1" applyAlignment="1" applyProtection="1">
      <alignment horizontal="center" vertical="center" wrapText="1"/>
    </xf>
    <xf numFmtId="167" fontId="45" fillId="8" borderId="3" xfId="4" applyNumberFormat="1" applyFont="1" applyFill="1" applyBorder="1" applyAlignment="1" applyProtection="1">
      <alignment horizontal="center" vertical="center" wrapText="1"/>
    </xf>
    <xf numFmtId="0" fontId="40" fillId="14" borderId="1" xfId="10" applyFont="1" applyFill="1" applyBorder="1" applyAlignment="1">
      <alignment horizontal="center" vertical="center" wrapText="1"/>
    </xf>
    <xf numFmtId="1" fontId="33" fillId="0" borderId="1" xfId="2" applyNumberFormat="1" applyFont="1" applyFill="1" applyBorder="1" applyAlignment="1" applyProtection="1">
      <alignment horizontal="center" vertical="center" wrapText="1"/>
    </xf>
    <xf numFmtId="41" fontId="33" fillId="0" borderId="0" xfId="0" applyNumberFormat="1" applyFont="1" applyFill="1" applyBorder="1" applyAlignment="1">
      <alignment horizontal="center" vertical="center" wrapText="1"/>
    </xf>
    <xf numFmtId="44" fontId="23" fillId="0" borderId="1" xfId="3" applyFont="1" applyFill="1" applyBorder="1" applyAlignment="1">
      <alignment horizontal="center" vertical="center"/>
    </xf>
    <xf numFmtId="168" fontId="42" fillId="0" borderId="2" xfId="1" applyNumberFormat="1" applyFont="1" applyFill="1" applyBorder="1" applyAlignment="1" applyProtection="1">
      <alignment horizontal="center" vertical="center" wrapText="1"/>
      <protection locked="0"/>
    </xf>
    <xf numFmtId="168" fontId="47" fillId="0" borderId="1" xfId="1" applyNumberFormat="1" applyFont="1" applyFill="1" applyBorder="1" applyAlignment="1" applyProtection="1">
      <alignment horizontal="center" vertical="center" wrapText="1"/>
      <protection locked="0"/>
    </xf>
    <xf numFmtId="0" fontId="47" fillId="0" borderId="1" xfId="0" applyFont="1" applyBorder="1" applyAlignment="1">
      <alignment horizontal="center" vertical="center" wrapText="1"/>
    </xf>
    <xf numFmtId="0" fontId="47" fillId="20" borderId="1"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41" fontId="33" fillId="6" borderId="1" xfId="2" applyFont="1" applyFill="1" applyBorder="1" applyAlignment="1" applyProtection="1">
      <alignment horizontal="center" vertical="center" wrapText="1"/>
      <protection locked="0"/>
    </xf>
    <xf numFmtId="41" fontId="33" fillId="20" borderId="1" xfId="2" applyFont="1" applyFill="1" applyBorder="1" applyAlignment="1">
      <alignment horizontal="center" vertical="center" wrapText="1"/>
    </xf>
    <xf numFmtId="0" fontId="33" fillId="5" borderId="1" xfId="0" applyFont="1" applyFill="1" applyBorder="1" applyAlignment="1">
      <alignment horizontal="center" vertical="center" wrapText="1"/>
    </xf>
    <xf numFmtId="165" fontId="33" fillId="0" borderId="0" xfId="2" applyNumberFormat="1" applyFont="1" applyFill="1" applyBorder="1" applyAlignment="1">
      <alignment horizontal="center" vertical="center" wrapText="1"/>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xf>
    <xf numFmtId="41" fontId="34" fillId="0" borderId="0" xfId="2" applyFont="1" applyBorder="1" applyAlignment="1">
      <alignment horizontal="center" vertical="center"/>
    </xf>
    <xf numFmtId="41" fontId="34" fillId="0" borderId="0" xfId="2" applyFont="1" applyFill="1" applyBorder="1" applyAlignment="1">
      <alignment horizontal="center" vertical="center" wrapText="1"/>
    </xf>
    <xf numFmtId="0" fontId="34" fillId="0" borderId="0" xfId="0" applyFont="1" applyBorder="1"/>
    <xf numFmtId="0" fontId="23" fillId="0" borderId="9"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24" fillId="8" borderId="3" xfId="4" applyNumberFormat="1" applyFont="1" applyFill="1" applyBorder="1" applyAlignment="1" applyProtection="1">
      <alignment horizontal="center" vertical="center" wrapText="1"/>
    </xf>
    <xf numFmtId="0" fontId="23" fillId="0" borderId="3" xfId="0" applyNumberFormat="1" applyFont="1" applyFill="1" applyBorder="1" applyAlignment="1">
      <alignment horizontal="center" vertical="center"/>
    </xf>
    <xf numFmtId="0" fontId="23" fillId="0" borderId="0" xfId="0" applyNumberFormat="1" applyFont="1" applyBorder="1" applyAlignment="1">
      <alignment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41" fontId="33" fillId="6" borderId="1" xfId="2" applyFont="1" applyFill="1" applyBorder="1" applyAlignment="1">
      <alignment vertical="center" wrapText="1"/>
    </xf>
    <xf numFmtId="0" fontId="33" fillId="0" borderId="1" xfId="0" applyFont="1" applyFill="1" applyBorder="1" applyAlignment="1">
      <alignment horizontal="center" vertical="center" wrapText="1"/>
    </xf>
    <xf numFmtId="41" fontId="33" fillId="20" borderId="1" xfId="2" applyFont="1" applyFill="1" applyBorder="1" applyAlignment="1">
      <alignment vertical="center" wrapText="1"/>
    </xf>
    <xf numFmtId="180" fontId="33" fillId="0" borderId="1" xfId="5" applyNumberFormat="1" applyFont="1" applyFill="1" applyBorder="1" applyAlignment="1" applyProtection="1">
      <alignment horizontal="center" vertical="center" wrapText="1"/>
    </xf>
    <xf numFmtId="41" fontId="33" fillId="0" borderId="1" xfId="2" applyNumberFormat="1" applyFont="1" applyFill="1" applyBorder="1" applyAlignment="1" applyProtection="1">
      <alignment horizontal="center" vertical="center" wrapText="1"/>
    </xf>
    <xf numFmtId="165" fontId="33" fillId="0" borderId="0" xfId="0" applyNumberFormat="1" applyFont="1" applyFill="1" applyBorder="1" applyAlignment="1">
      <alignment horizontal="center" vertical="center"/>
    </xf>
    <xf numFmtId="41" fontId="33" fillId="0" borderId="0" xfId="0" applyNumberFormat="1" applyFont="1" applyFill="1" applyBorder="1" applyAlignment="1">
      <alignment horizontal="center" vertical="center"/>
    </xf>
    <xf numFmtId="165" fontId="33" fillId="0" borderId="1" xfId="70" applyFont="1" applyFill="1" applyBorder="1" applyAlignment="1" applyProtection="1">
      <alignment horizontal="center" vertical="center" wrapText="1"/>
      <protection locked="0"/>
    </xf>
    <xf numFmtId="164" fontId="33" fillId="41" borderId="1" xfId="0" applyNumberFormat="1" applyFont="1" applyFill="1" applyBorder="1" applyAlignment="1">
      <alignment horizontal="center" vertical="center" wrapText="1"/>
    </xf>
    <xf numFmtId="41" fontId="33" fillId="41" borderId="1" xfId="2" applyFont="1" applyFill="1" applyBorder="1" applyAlignment="1">
      <alignment vertical="center" wrapText="1"/>
    </xf>
    <xf numFmtId="168" fontId="42" fillId="20" borderId="2" xfId="4" applyNumberFormat="1" applyFont="1" applyFill="1" applyBorder="1" applyAlignment="1" applyProtection="1">
      <alignment horizontal="center" vertical="center" wrapText="1"/>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Fill="1" applyBorder="1" applyAlignment="1">
      <alignment horizontal="center" vertical="center" wrapText="1"/>
    </xf>
    <xf numFmtId="41" fontId="33" fillId="0" borderId="1" xfId="2" applyFont="1" applyBorder="1" applyAlignment="1">
      <alignment horizontal="center" vertical="center"/>
    </xf>
    <xf numFmtId="3" fontId="33" fillId="0" borderId="1" xfId="8" applyNumberFormat="1" applyFont="1" applyBorder="1" applyAlignment="1">
      <alignment horizontal="center" vertical="center"/>
    </xf>
    <xf numFmtId="0" fontId="0" fillId="0" borderId="0" xfId="0" applyAlignment="1">
      <alignment horizontal="center"/>
    </xf>
    <xf numFmtId="0" fontId="8" fillId="0" borderId="1" xfId="0" applyFont="1" applyBorder="1" applyAlignment="1">
      <alignment horizontal="center" vertical="center"/>
    </xf>
    <xf numFmtId="0" fontId="8" fillId="0" borderId="4" xfId="0" applyFont="1" applyFill="1" applyBorder="1" applyAlignment="1">
      <alignment horizontal="left"/>
    </xf>
    <xf numFmtId="0" fontId="8" fillId="0" borderId="6" xfId="0" applyFont="1" applyFill="1" applyBorder="1" applyAlignment="1">
      <alignment horizontal="left"/>
    </xf>
    <xf numFmtId="0" fontId="8" fillId="0" borderId="3" xfId="0" applyFont="1" applyFill="1" applyBorder="1" applyAlignment="1">
      <alignment horizontal="left"/>
    </xf>
    <xf numFmtId="0" fontId="7" fillId="0" borderId="7" xfId="0" applyFont="1" applyBorder="1" applyAlignment="1">
      <alignment horizontal="center"/>
    </xf>
    <xf numFmtId="0" fontId="7" fillId="0" borderId="8"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3" fontId="8" fillId="0" borderId="7" xfId="0" applyNumberFormat="1" applyFont="1" applyBorder="1" applyAlignment="1">
      <alignment horizontal="center" vertical="center"/>
    </xf>
    <xf numFmtId="3" fontId="8" fillId="0" borderId="9"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3" fontId="8" fillId="0" borderId="4" xfId="0" applyNumberFormat="1" applyFont="1" applyBorder="1" applyAlignment="1">
      <alignment horizontal="center" vertical="center"/>
    </xf>
    <xf numFmtId="3" fontId="8" fillId="0" borderId="6" xfId="0" applyNumberFormat="1" applyFont="1" applyBorder="1" applyAlignment="1">
      <alignment horizontal="center" vertical="center"/>
    </xf>
    <xf numFmtId="3" fontId="8" fillId="0" borderId="3" xfId="0" applyNumberFormat="1" applyFont="1" applyBorder="1" applyAlignment="1">
      <alignment horizontal="center" vertical="center"/>
    </xf>
    <xf numFmtId="41" fontId="23" fillId="33" borderId="1" xfId="2" applyFont="1" applyFill="1" applyBorder="1" applyAlignment="1" applyProtection="1">
      <alignment horizontal="center" vertical="center" wrapText="1"/>
      <protection locked="0"/>
    </xf>
    <xf numFmtId="41" fontId="23" fillId="33" borderId="1" xfId="2" applyFont="1" applyFill="1" applyBorder="1" applyAlignment="1" applyProtection="1">
      <alignment horizontal="center" vertical="center"/>
      <protection locked="0"/>
    </xf>
  </cellXfs>
  <cellStyles count="71">
    <cellStyle name="40% - Énfasis2 2" xfId="23"/>
    <cellStyle name="40% - Énfasis2 2 2" xfId="40"/>
    <cellStyle name="BodyStyle" xfId="7"/>
    <cellStyle name="BodyStyle 2" xfId="34"/>
    <cellStyle name="BodyStyleBold" xfId="53"/>
    <cellStyle name="BodyStyleBoldRight" xfId="54"/>
    <cellStyle name="BodyStyleWithBorder" xfId="59"/>
    <cellStyle name="BorderThinBlack" xfId="63"/>
    <cellStyle name="Comma" xfId="46"/>
    <cellStyle name="Comma [0]" xfId="47"/>
    <cellStyle name="Currency" xfId="44"/>
    <cellStyle name="Currency [0]" xfId="45"/>
    <cellStyle name="DateStyle" xfId="56"/>
    <cellStyle name="DateTimeStyle" xfId="57"/>
    <cellStyle name="Decimal" xfId="58"/>
    <cellStyle name="DecimalWithBorder" xfId="62"/>
    <cellStyle name="Énfasis1" xfId="4" builtinId="29"/>
    <cellStyle name="Énfasis6" xfId="5" builtinId="49"/>
    <cellStyle name="EuroCurrency" xfId="55"/>
    <cellStyle name="EuroCurrencyWithBorder" xfId="60"/>
    <cellStyle name="HeaderStyle" xfId="29"/>
    <cellStyle name="HeaderStyle 2" xfId="33"/>
    <cellStyle name="HeaderSubTop" xfId="51"/>
    <cellStyle name="HeaderSubTopNoBold" xfId="52"/>
    <cellStyle name="HeaderTopBuyer" xfId="48"/>
    <cellStyle name="HeaderTopStyle" xfId="49"/>
    <cellStyle name="HeaderTopStyleAlignRight" xfId="50"/>
    <cellStyle name="MainTitle" xfId="30"/>
    <cellStyle name="MainTitle 2" xfId="31"/>
    <cellStyle name="Millares" xfId="1" builtinId="3"/>
    <cellStyle name="Millares [0]" xfId="2" builtinId="6"/>
    <cellStyle name="Millares [0] 2" xfId="42"/>
    <cellStyle name="Millares [0] 2 2" xfId="70"/>
    <cellStyle name="Millares [0] 3" xfId="16"/>
    <cellStyle name="Millares [0] 4" xfId="65"/>
    <cellStyle name="Millares 2" xfId="38"/>
    <cellStyle name="Millares 2 2" xfId="69"/>
    <cellStyle name="Millares 2 4" xfId="6"/>
    <cellStyle name="Millares 2 4 2" xfId="28"/>
    <cellStyle name="Millares 2 4 3" xfId="68"/>
    <cellStyle name="Millares 3" xfId="26"/>
    <cellStyle name="Millares 3 2" xfId="67"/>
    <cellStyle name="Millares 4" xfId="22"/>
    <cellStyle name="Millares 4 2" xfId="66"/>
    <cellStyle name="Moneda" xfId="3" builtinId="4"/>
    <cellStyle name="Moneda [0]" xfId="11" builtinId="7"/>
    <cellStyle name="Moneda [0] 2" xfId="12"/>
    <cellStyle name="Moneda [0] 3" xfId="20"/>
    <cellStyle name="Moneda 2" xfId="27"/>
    <cellStyle name="Nivel 1,2.3,5,6,9" xfId="14"/>
    <cellStyle name="Nivel 4" xfId="15"/>
    <cellStyle name="Nivel 7" xfId="17"/>
    <cellStyle name="NIVEL 8" xfId="18"/>
    <cellStyle name="Normal" xfId="0" builtinId="0"/>
    <cellStyle name="Normal 2" xfId="24"/>
    <cellStyle name="Normal 2 2" xfId="13"/>
    <cellStyle name="Normal 2 2 2" xfId="39"/>
    <cellStyle name="Normal 2 3" xfId="41"/>
    <cellStyle name="Normal 2 4" xfId="8"/>
    <cellStyle name="Normal 2 5" xfId="32"/>
    <cellStyle name="Normal 3" xfId="10"/>
    <cellStyle name="Normal 3 2" xfId="37"/>
    <cellStyle name="Normal 4" xfId="19"/>
    <cellStyle name="Normal 5" xfId="25"/>
    <cellStyle name="Normal 5 2" xfId="9"/>
    <cellStyle name="Normal 6" xfId="36"/>
    <cellStyle name="Normal 7" xfId="21"/>
    <cellStyle name="Normal 8" xfId="64"/>
    <cellStyle name="Numeric" xfId="35"/>
    <cellStyle name="NumericWithBorder" xfId="61"/>
    <cellStyle name="Percent" xfId="43"/>
  </cellStyles>
  <dxfs count="99">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98"/>
      <tableStyleElement type="headerRow" dxfId="97"/>
    </tableStyle>
  </tableStyles>
  <colors>
    <mruColors>
      <color rgb="FF66FF99"/>
      <color rgb="FF9999FF"/>
      <color rgb="FFA162D0"/>
      <color rgb="FF764E62"/>
      <color rgb="FF66CCFF"/>
      <color rgb="FFFFCCFF"/>
      <color rgb="FFB3D5E1"/>
      <color rgb="FFBB97A9"/>
      <color rgb="FF9965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0</xdr:row>
      <xdr:rowOff>0</xdr:rowOff>
    </xdr:from>
    <xdr:to>
      <xdr:col>0</xdr:col>
      <xdr:colOff>1663700</xdr:colOff>
      <xdr:row>3</xdr:row>
      <xdr:rowOff>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0"/>
          <a:ext cx="8667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790575</xdr:colOff>
      <xdr:row>0</xdr:row>
      <xdr:rowOff>0</xdr:rowOff>
    </xdr:from>
    <xdr:to>
      <xdr:col>1</xdr:col>
      <xdr:colOff>28575</xdr:colOff>
      <xdr:row>3</xdr:row>
      <xdr:rowOff>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0"/>
          <a:ext cx="8667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819150</xdr:colOff>
      <xdr:row>0</xdr:row>
      <xdr:rowOff>0</xdr:rowOff>
    </xdr:from>
    <xdr:to>
      <xdr:col>0</xdr:col>
      <xdr:colOff>1835150</xdr:colOff>
      <xdr:row>3</xdr:row>
      <xdr:rowOff>177800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0"/>
          <a:ext cx="1016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Compartida\Formato%20PE%20y%20PAA%202015%20SI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on/PLANEACION%20A&#209;O%202019/Plan%20Estrategico%202019-2022/DOCUMENTOS%20PLAN%20ESTRAT&#201;GICO/PLAN%20DE%20ACCION%202019/Cronograma%20plan%20de%20acci&#243;n%20anual%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2\Compartida\Users\srivera\Desktop\PLAN%20DE%20ADQUISICIONE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resupuesto\Desktop\PRESUPUESTO%202019\INFORMES\INFORMES%20OCTUBRE%20D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8"/>
      <sheetName val="PLAN ESTRATÉGICO"/>
      <sheetName val="COMISIONES Y VIAJES"/>
      <sheetName val="EVENTOS"/>
      <sheetName val="Plan Acción Misional 2019"/>
      <sheetName val="METAS PROYECTOS"/>
      <sheetName val="VIÁTICOS"/>
      <sheetName val="LISTAS"/>
      <sheetName val="Listas PE"/>
      <sheetName val="ACT-SUB"/>
    </sheetNames>
    <sheetDataSet>
      <sheetData sheetId="0"/>
      <sheetData sheetId="1"/>
      <sheetData sheetId="2"/>
      <sheetData sheetId="3"/>
      <sheetData sheetId="4"/>
      <sheetData sheetId="5"/>
      <sheetData sheetId="6"/>
      <sheetData sheetId="7">
        <row r="2">
          <cell r="E2" t="str">
            <v>ANDRADE LOZADA PEDRO</v>
          </cell>
          <cell r="G2">
            <v>385428</v>
          </cell>
          <cell r="I2" t="str">
            <v xml:space="preserve">Direccionamiento estratégico y planeación </v>
          </cell>
        </row>
        <row r="3">
          <cell r="A3" t="str">
            <v>Educación</v>
          </cell>
          <cell r="C3" t="str">
            <v>MEJORAMIENTO DE LAS CONDICIONES PARA A GARANTIA DE LOS DERECHOS DE LAS pdv EN EL PAIS</v>
          </cell>
          <cell r="E3" t="str">
            <v>ARIZA  JIMENEZ GILBERTH ADONAY</v>
          </cell>
          <cell r="G3">
            <v>285714</v>
          </cell>
          <cell r="I3" t="str">
            <v>Gestión con valores para Resultados</v>
          </cell>
        </row>
        <row r="4">
          <cell r="A4" t="str">
            <v>Accesibilidad</v>
          </cell>
          <cell r="C4" t="str">
            <v xml:space="preserve"> GASTOS GENERALES- ACUEDUCTO, ALCANTARILLADO Y ASEO </v>
          </cell>
          <cell r="E4" t="str">
            <v>ARIZA GOMEZ GINA MILENA</v>
          </cell>
          <cell r="G4">
            <v>235223</v>
          </cell>
          <cell r="I4" t="str">
            <v xml:space="preserve">Evaluación de Resultados </v>
          </cell>
        </row>
        <row r="5">
          <cell r="A5" t="str">
            <v>Gestión interinstitucional</v>
          </cell>
          <cell r="C5" t="str">
            <v xml:space="preserve"> GASTOS GENERALES - GASTOS JUDICIALES </v>
          </cell>
          <cell r="E5" t="str">
            <v xml:space="preserve">BELTRAN CHAMORRO EDWIN ENRIQUE </v>
          </cell>
          <cell r="G5">
            <v>208402</v>
          </cell>
          <cell r="I5" t="str">
            <v xml:space="preserve">Talento Humano </v>
          </cell>
        </row>
        <row r="6">
          <cell r="B6" t="str">
            <v xml:space="preserve">Todos </v>
          </cell>
          <cell r="C6" t="str">
            <v xml:space="preserve"> GASTOS GENERALES- SUSCRIPCIONES </v>
          </cell>
          <cell r="E6" t="str">
            <v>BOLAÑOS MAHECHA JOSE GERMAN</v>
          </cell>
          <cell r="G6">
            <v>181485</v>
          </cell>
          <cell r="I6" t="str">
            <v xml:space="preserve">Información y Comunicación </v>
          </cell>
        </row>
        <row r="7">
          <cell r="C7" t="str">
            <v xml:space="preserve"> GASTOS GENERALES-MANTENIMIENTO DE BIENES INMUEBLES </v>
          </cell>
          <cell r="E7" t="str">
            <v>CARDOZO MUÑOZ SONIA YANETH</v>
          </cell>
          <cell r="G7">
            <v>155968</v>
          </cell>
          <cell r="I7" t="str">
            <v xml:space="preserve">Gestión del Conocimiento y la Innovación </v>
          </cell>
        </row>
        <row r="8">
          <cell r="C8" t="str">
            <v xml:space="preserve"> GASTOS GENERALES PRODUCTOS DE CAFETERÍA Y RESTAURANTE </v>
          </cell>
          <cell r="E8" t="str">
            <v>CASTILLO MARTIN HELBERT</v>
          </cell>
          <cell r="G8">
            <v>128544</v>
          </cell>
          <cell r="I8" t="str">
            <v>Control Interno</v>
          </cell>
        </row>
        <row r="9">
          <cell r="E9" t="str">
            <v xml:space="preserve">CASTRO MURCIA SANDRA MARCELA </v>
          </cell>
        </row>
        <row r="10">
          <cell r="E10" t="str">
            <v>CASTRO ÑUNGO MARTHA EMILIA</v>
          </cell>
        </row>
        <row r="11">
          <cell r="B11" t="str">
            <v>Comunicaciones</v>
          </cell>
          <cell r="C11" t="str">
            <v xml:space="preserve">FORTALECIMIENTO DE PROCESOS Y RECURSOS DEL INCI PARA CONTRIBUIR CON EL MEJORAMIENT DE SERVICIOS A LAS PDV </v>
          </cell>
          <cell r="E11" t="str">
            <v>CASTRO SALCEDO YOLANDA</v>
          </cell>
        </row>
        <row r="12">
          <cell r="E12" t="str">
            <v>CELY OCAÑO HERMES ARMANDO</v>
          </cell>
        </row>
        <row r="13">
          <cell r="C13" t="str">
            <v xml:space="preserve"> GASTOS GENERALES IMPUESTOS </v>
          </cell>
          <cell r="E13" t="str">
            <v>CHAVES NIETO ANDREA DEL PILAR</v>
          </cell>
        </row>
        <row r="14">
          <cell r="E14" t="str">
            <v>COLMENARES MOLINA JORGE ANDRES</v>
          </cell>
        </row>
        <row r="15">
          <cell r="E15" t="str">
            <v>CORREA BARRERA LUZ MARLENY</v>
          </cell>
        </row>
        <row r="16">
          <cell r="E16" t="str">
            <v>CORTES GALEANO SANDRA MARIA</v>
          </cell>
        </row>
        <row r="17">
          <cell r="B17" t="str">
            <v>Gestión Humana</v>
          </cell>
          <cell r="C17" t="str">
            <v xml:space="preserve"> GASTOS GENERALES PRODUCTOS DE ASEO Y LIMPIEZA </v>
          </cell>
          <cell r="E17" t="str">
            <v>CUADROS CORTES ANDREA CAROLINA</v>
          </cell>
        </row>
        <row r="18">
          <cell r="E18" t="str">
            <v>CUBILLOS PRIETO NICOLE MILEYDI</v>
          </cell>
        </row>
        <row r="19">
          <cell r="C19" t="str">
            <v xml:space="preserve"> GASTOS GENERALES PRODUCTOS DE CAFETERÍA Y RESTAURANTE </v>
          </cell>
          <cell r="E19" t="str">
            <v xml:space="preserve">DELGADO ZARATE LUIS ARNULFO </v>
          </cell>
        </row>
        <row r="20">
          <cell r="E20" t="str">
            <v>DIAZ CHACON HENRY ALONSO</v>
          </cell>
        </row>
        <row r="21">
          <cell r="E21" t="str">
            <v>DIAZ ORTEGON JOHN ALEXANDER</v>
          </cell>
        </row>
        <row r="22">
          <cell r="C22" t="str">
            <v xml:space="preserve"> GASTOS GENERALES-SERVICIO DE SEGURIDAD Y VIGILANCIA </v>
          </cell>
          <cell r="E22" t="str">
            <v xml:space="preserve">ESCUDERO PEREZ MARTHA CECILIA </v>
          </cell>
        </row>
        <row r="23">
          <cell r="C23" t="str">
            <v xml:space="preserve"> GASTOS GENERALES PRODUCTOS DE CAFETERÍA Y RESTAURANTE </v>
          </cell>
          <cell r="E23" t="str">
            <v>FANDIÑO HERRAN CRISTIAN LAREL</v>
          </cell>
        </row>
        <row r="24">
          <cell r="C24" t="str">
            <v xml:space="preserve"> GASTOS DE PERSONAL - HONORARIOS </v>
          </cell>
          <cell r="E24" t="str">
            <v>FERNANDEZ GWINNER GUSTAVO ADOLFO</v>
          </cell>
        </row>
        <row r="25">
          <cell r="C25" t="str">
            <v xml:space="preserve"> GASTOS GENERALES- ACUEDUCTO, ALCANTARILLADO Y ASEO </v>
          </cell>
          <cell r="E25" t="str">
            <v xml:space="preserve">FORERO HERNANDEZ MARITZA </v>
          </cell>
        </row>
        <row r="26">
          <cell r="C26" t="str">
            <v xml:space="preserve"> GASTOS GENERALES- ENERGÍA </v>
          </cell>
          <cell r="E26" t="str">
            <v>GODOY GUTIERREZ JOSE NELSON</v>
          </cell>
        </row>
        <row r="27">
          <cell r="C27" t="str">
            <v xml:space="preserve"> GASTOS GENERALES-SERVICIO DE ASEO </v>
          </cell>
          <cell r="E27" t="str">
            <v>GOMEZ MUÑOZ SANDRA MABEL</v>
          </cell>
        </row>
        <row r="28">
          <cell r="C28" t="str">
            <v xml:space="preserve"> GASTOS GENERALES - COMBUSTIBLE Y LUBRICANTES </v>
          </cell>
          <cell r="E28" t="str">
            <v>GOMEZ NIÑO MARTHA DEL PILAR</v>
          </cell>
        </row>
        <row r="29">
          <cell r="C29" t="str">
            <v xml:space="preserve">GASTOS GENERALES - IMPUESTOS Y MULTAS </v>
          </cell>
          <cell r="E29" t="str">
            <v>GOMEZ RAMIREZ JUAN ESTEBAN</v>
          </cell>
        </row>
        <row r="30">
          <cell r="C30" t="str">
            <v xml:space="preserve"> GASTOS GENERALES - OTROS GASTOS POR ADQUISICIÓN DE SERVICIOS </v>
          </cell>
          <cell r="E30" t="str">
            <v xml:space="preserve">HERNANDEZ MATEUS RICARDO </v>
          </cell>
        </row>
        <row r="31">
          <cell r="E31" t="str">
            <v>HERRERA GAMEZ MIRYAM YANETH</v>
          </cell>
        </row>
        <row r="32">
          <cell r="E32" t="str">
            <v xml:space="preserve">HORMAZA GARCIA ANA PATRICIA </v>
          </cell>
        </row>
        <row r="33">
          <cell r="E33" t="str">
            <v>HOYOS CUBIDES LEIDY FERNANDA</v>
          </cell>
        </row>
        <row r="34">
          <cell r="C34" t="str">
            <v xml:space="preserve"> GASTOS GENERALES-TELEFONÍA MOVIL CELULAR </v>
          </cell>
          <cell r="E34" t="str">
            <v>HURTADO PEREA JOHANNA</v>
          </cell>
        </row>
        <row r="35">
          <cell r="E35" t="str">
            <v>INFANTE DONOSO ANA TERESA</v>
          </cell>
        </row>
        <row r="36">
          <cell r="C36" t="str">
            <v xml:space="preserve"> GASTOS DE PERSONAL - SERVICIOS TÉCNICOS </v>
          </cell>
          <cell r="E36" t="str">
            <v>JAIMES NIÑO ALICIA</v>
          </cell>
        </row>
        <row r="37">
          <cell r="E37" t="str">
            <v>JIMENEZ JOHN FREDY</v>
          </cell>
        </row>
        <row r="38">
          <cell r="E38" t="str">
            <v>JIMENEZ VARGAS JOHN JAIRO</v>
          </cell>
        </row>
        <row r="39">
          <cell r="E39" t="str">
            <v>KING GARCES ENRIQUE EFRAIN</v>
          </cell>
        </row>
        <row r="40">
          <cell r="E40" t="str">
            <v>LEYVA ARROYO VIANEY NATALIA</v>
          </cell>
        </row>
        <row r="41">
          <cell r="E41" t="str">
            <v>LOPEZ CORREA MYRIAM CRISTINA</v>
          </cell>
        </row>
        <row r="42">
          <cell r="E42" t="str">
            <v>LUCERO DIAZ CARLOS ANTONIO</v>
          </cell>
        </row>
        <row r="43">
          <cell r="E43" t="str">
            <v>MAYA PEÑA LUIS IGNACIO</v>
          </cell>
        </row>
        <row r="44">
          <cell r="E44" t="str">
            <v xml:space="preserve">MEJIA RANGEL SHERLEY JULIETH </v>
          </cell>
        </row>
        <row r="45">
          <cell r="E45" t="str">
            <v>MONTAÑEZ VARGAS DARIO JAVIER</v>
          </cell>
        </row>
        <row r="46">
          <cell r="E46" t="str">
            <v>MONTOYA FALLA PATRICIA</v>
          </cell>
        </row>
        <row r="47">
          <cell r="E47" t="str">
            <v>ORTIZ AVILA YENNY MARLADY</v>
          </cell>
        </row>
        <row r="48">
          <cell r="E48" t="str">
            <v>ORTIZ BERMUDEZ ESPERANZA</v>
          </cell>
        </row>
        <row r="49">
          <cell r="E49" t="str">
            <v>ORTIZ TORRES LUZ HEDY</v>
          </cell>
        </row>
        <row r="50">
          <cell r="E50" t="str">
            <v>OSPINA HERNANDEZ CRISTIAN</v>
          </cell>
        </row>
        <row r="51">
          <cell r="E51" t="str">
            <v>PABON PERILLA FERNEY ALEJANDRO</v>
          </cell>
        </row>
        <row r="52">
          <cell r="E52" t="str">
            <v>PARDO BEJARANO AURA MARCELA</v>
          </cell>
        </row>
        <row r="53">
          <cell r="E53" t="str">
            <v>PARDO MORALES GLADYS MIREYA</v>
          </cell>
        </row>
        <row r="54">
          <cell r="E54" t="str">
            <v>PARRA BLANDON DIANA MARCELA</v>
          </cell>
        </row>
        <row r="55">
          <cell r="E55" t="str">
            <v xml:space="preserve">PARRA DUSSAN CARLOS ALBERTO </v>
          </cell>
        </row>
        <row r="56">
          <cell r="E56" t="str">
            <v>PARRA GAMBA OLGA YOLANDA</v>
          </cell>
        </row>
        <row r="57">
          <cell r="E57" t="str">
            <v>PEÑA CASTAÑEDA GLORIA JANNETH</v>
          </cell>
        </row>
        <row r="58">
          <cell r="E58" t="str">
            <v>PULIDO CASAS GUSTAVO</v>
          </cell>
        </row>
        <row r="59">
          <cell r="E59" t="str">
            <v>RAMIREZ CALDERON MARY SOL</v>
          </cell>
        </row>
        <row r="60">
          <cell r="E60" t="str">
            <v>RODRIGUEZ ALVAREZ SANTIAGO ADOLFO</v>
          </cell>
        </row>
        <row r="61">
          <cell r="E61" t="str">
            <v>ROMERO RAMIREZ CLARA INES</v>
          </cell>
        </row>
        <row r="62">
          <cell r="E62" t="str">
            <v>SANTA ARCINIEGAS ANGELA MARGARITA</v>
          </cell>
        </row>
        <row r="63">
          <cell r="E63" t="str">
            <v>SANTOYO ROMERO YESID FERNANDO</v>
          </cell>
        </row>
        <row r="64">
          <cell r="E64" t="str">
            <v>SERRANO MORENO MARIA MARLEN</v>
          </cell>
        </row>
        <row r="65">
          <cell r="E65" t="str">
            <v>TORRES PICO CARLOS IVAN</v>
          </cell>
        </row>
        <row r="66">
          <cell r="E66" t="str">
            <v>ULLOA SUAVITA LUZ ANGELA</v>
          </cell>
        </row>
        <row r="67">
          <cell r="E67" t="str">
            <v>URIBE PITA ELIANA</v>
          </cell>
        </row>
        <row r="68">
          <cell r="E68" t="str">
            <v>VALDES LAGUNA CLAUDIA ALEJANDRA</v>
          </cell>
        </row>
        <row r="69">
          <cell r="E69" t="str">
            <v>VERDUGO SANCHEZ ESPERANZA</v>
          </cell>
        </row>
        <row r="70">
          <cell r="E70" t="str">
            <v>Contratista 1</v>
          </cell>
        </row>
        <row r="71">
          <cell r="E71" t="str">
            <v>Contratista 2</v>
          </cell>
        </row>
        <row r="72">
          <cell r="E72" t="str">
            <v>YEPES CAMACHO MARIA DEL ROSARIO</v>
          </cell>
        </row>
      </sheetData>
      <sheetData sheetId="8">
        <row r="2">
          <cell r="A2" t="str">
            <v>CARIBE</v>
          </cell>
          <cell r="K2" t="str">
            <v>Direccionamiento Estrategico</v>
          </cell>
          <cell r="L2" t="str">
            <v>SI</v>
          </cell>
          <cell r="N2" t="str">
            <v>Educación Inicial - Primera Infancia</v>
          </cell>
          <cell r="O2" t="str">
            <v>INFRAESTRUCTURA Y COMPETITIVIDAD ESTRATÉGICAS</v>
          </cell>
        </row>
        <row r="3">
          <cell r="A3" t="str">
            <v>CENTRO_ORIENTE</v>
          </cell>
          <cell r="K3" t="str">
            <v>Gestion Politicas Publicas Inclusivas</v>
          </cell>
          <cell r="L3" t="str">
            <v>NO</v>
          </cell>
          <cell r="N3" t="str">
            <v>Programa Acceso y Permanencia en Primaria, Básica y Media</v>
          </cell>
          <cell r="O3" t="str">
            <v>MOVILIDAD SOCIAL</v>
          </cell>
        </row>
        <row r="4">
          <cell r="A4" t="str">
            <v>LLANO</v>
          </cell>
          <cell r="K4" t="str">
            <v>Gestion Tecnica</v>
          </cell>
          <cell r="N4" t="str">
            <v>Programa de Calidad en Primaria, Básica y Media</v>
          </cell>
          <cell r="O4" t="str">
            <v>TRANSFORMACION DEL CAMPO Y CRECIMIENTO VERDE</v>
          </cell>
        </row>
        <row r="5">
          <cell r="A5" t="str">
            <v>PACIFICO</v>
          </cell>
          <cell r="K5" t="str">
            <v>Produccion y mercadeo Social</v>
          </cell>
          <cell r="N5" t="str">
            <v>Programa de Competencias en Primaria, Básica y Media</v>
          </cell>
          <cell r="O5" t="str">
            <v>CONSOLIDACION DEL ESTADO SOCIAL DE DERECHO</v>
          </cell>
        </row>
        <row r="6">
          <cell r="A6" t="str">
            <v>EJE_CAFETERO</v>
          </cell>
          <cell r="K6" t="str">
            <v>Gestion Humana</v>
          </cell>
          <cell r="N6" t="str">
            <v>Programa de Calidad en Educación Superior</v>
          </cell>
          <cell r="O6" t="str">
            <v>BUEN GOBIERNO</v>
          </cell>
        </row>
        <row r="7">
          <cell r="A7" t="str">
            <v>CENTRO_SUR</v>
          </cell>
          <cell r="K7" t="str">
            <v>Comunicaciones</v>
          </cell>
          <cell r="N7" t="str">
            <v>Programa Inspección y Vigilancia en Educación Superior</v>
          </cell>
          <cell r="O7" t="str">
            <v>OTRA</v>
          </cell>
        </row>
        <row r="8">
          <cell r="A8" t="str">
            <v>NACIONAL</v>
          </cell>
          <cell r="K8" t="str">
            <v>Financiero</v>
          </cell>
          <cell r="N8" t="str">
            <v>Programa de Fomento y Cobertura en Educación Superior</v>
          </cell>
        </row>
        <row r="9">
          <cell r="K9" t="str">
            <v>Gerencia Juridica</v>
          </cell>
          <cell r="N9" t="str">
            <v>Programa Apoyo a la gestión en Educación Superior</v>
          </cell>
        </row>
        <row r="10">
          <cell r="K10" t="str">
            <v>Gestion Contractual</v>
          </cell>
          <cell r="N10" t="str">
            <v>Programa Recursos Humanos del  Sector</v>
          </cell>
        </row>
        <row r="11">
          <cell r="K11" t="str">
            <v>Servicio al Ciudadano</v>
          </cell>
          <cell r="N11" t="str">
            <v xml:space="preserve">Programa Fortalecimiento Institucional </v>
          </cell>
        </row>
        <row r="12">
          <cell r="K12" t="str">
            <v>Administrativo</v>
          </cell>
          <cell r="N12" t="str">
            <v>Otro</v>
          </cell>
        </row>
        <row r="13">
          <cell r="K13" t="str">
            <v>Informatica y Tecnologia</v>
          </cell>
        </row>
        <row r="14">
          <cell r="K14" t="str">
            <v>Administracion Documental</v>
          </cell>
        </row>
        <row r="15">
          <cell r="K15" t="str">
            <v>Evaluacion y Mejoramiento Institucional</v>
          </cell>
        </row>
        <row r="16">
          <cell r="K16" t="str">
            <v>Todos</v>
          </cell>
        </row>
        <row r="17">
          <cell r="K17" t="str">
            <v>Algunos</v>
          </cell>
        </row>
        <row r="18">
          <cell r="K18" t="str">
            <v>x</v>
          </cell>
        </row>
        <row r="19">
          <cell r="K19" t="str">
            <v>x</v>
          </cell>
        </row>
        <row r="20">
          <cell r="K20" t="str">
            <v>x</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refreshError="1"/>
      <sheetData sheetId="1">
        <row r="2">
          <cell r="A2" t="str">
            <v>Contratación directa</v>
          </cell>
          <cell r="E2" t="str">
            <v>Direccionamiento Estrategico</v>
          </cell>
        </row>
        <row r="3">
          <cell r="A3" t="str">
            <v>Selección abreviada menor cuantía</v>
          </cell>
          <cell r="E3" t="str">
            <v>Secretaria General</v>
          </cell>
        </row>
        <row r="4">
          <cell r="A4" t="str">
            <v>Selección abreviada subasta inversa (No disponible)</v>
          </cell>
          <cell r="E4" t="str">
            <v>Comunicaciones</v>
          </cell>
        </row>
        <row r="5">
          <cell r="A5" t="str">
            <v>Mínima cuantía</v>
          </cell>
          <cell r="E5" t="str">
            <v>Servicio al ciudadano</v>
          </cell>
        </row>
        <row r="6">
          <cell r="A6" t="str">
            <v>Solicitud de información a los Proveedores</v>
          </cell>
          <cell r="E6" t="str">
            <v>Asistencia Técnica</v>
          </cell>
        </row>
        <row r="7">
          <cell r="A7" t="str">
            <v>No es Contrato</v>
          </cell>
          <cell r="E7" t="str">
            <v>Emisora INCI Radio</v>
          </cell>
        </row>
        <row r="8">
          <cell r="A8" t="str">
            <v>Licitación pública</v>
          </cell>
          <cell r="E8" t="str">
            <v xml:space="preserve">Biblioteca virtual para ciegos </v>
          </cell>
        </row>
        <row r="9">
          <cell r="A9" t="str">
            <v>Concurso de méritos con precalificación</v>
          </cell>
          <cell r="E9" t="str">
            <v>Producción y mercadeo social</v>
          </cell>
        </row>
        <row r="10">
          <cell r="A10" t="str">
            <v>Concurso de méritos abierto</v>
          </cell>
          <cell r="E10" t="str">
            <v xml:space="preserve">Financiero </v>
          </cell>
        </row>
        <row r="11">
          <cell r="A11" t="str">
            <v>Publicación contratación régimen especial - Selección de comisionista</v>
          </cell>
          <cell r="E11" t="str">
            <v>Administrativo</v>
          </cell>
        </row>
        <row r="12">
          <cell r="A12" t="str">
            <v>Publicación contratación régimen especial - Enajenación de bienes para intermediarios idóneos</v>
          </cell>
          <cell r="E12" t="str">
            <v>Gestión Contractual</v>
          </cell>
        </row>
        <row r="13">
          <cell r="A13" t="str">
            <v>Publicación contratación régimen especial - Régimen especial</v>
          </cell>
          <cell r="E13" t="str">
            <v>Gestión Humana</v>
          </cell>
        </row>
        <row r="14">
          <cell r="A14" t="str">
            <v>Publicación contratación régimen especial - Banco multilateral y organismos multilaterales</v>
          </cell>
          <cell r="E14" t="str">
            <v xml:space="preserve">Gestión Juridica </v>
          </cell>
        </row>
        <row r="15">
          <cell r="A15" t="str">
            <v>Seléccion abreviada - acuerdo marco</v>
          </cell>
          <cell r="E15" t="str">
            <v>Informática y Tecnología</v>
          </cell>
        </row>
        <row r="16">
          <cell r="E16" t="str">
            <v xml:space="preserve">Administración Documental </v>
          </cell>
        </row>
        <row r="17">
          <cell r="E17" t="str">
            <v xml:space="preserve">Evaluación y Mejoramiento Institucional </v>
          </cell>
        </row>
        <row r="18">
          <cell r="E18" t="str">
            <v xml:space="preserve">Todos </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EJECUCION "/>
      <sheetName val="Hoja1"/>
      <sheetName val="RESERVA"/>
      <sheetName val=" RESERVA POR TERCERO2018"/>
      <sheetName val="CUENTASXPAGAR TERCERO2018 "/>
      <sheetName val="VIGENCIAS FUTURAS"/>
      <sheetName val="PAA"/>
      <sheetName val="REP_ING031_InformeEjecucionPres"/>
      <sheetName val="INGRESOS"/>
      <sheetName val="REP_ING031_InformeEjecucion (2"/>
      <sheetName val="INGRESOS AGREGADA"/>
    </sheetNames>
    <sheetDataSet>
      <sheetData sheetId="0"/>
      <sheetData sheetId="1"/>
      <sheetData sheetId="2"/>
      <sheetData sheetId="3"/>
      <sheetData sheetId="4"/>
      <sheetData sheetId="5"/>
      <sheetData sheetId="6"/>
      <sheetData sheetId="7">
        <row r="5">
          <cell r="AA5">
            <v>9300000</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G213"/>
  <sheetViews>
    <sheetView topLeftCell="A6" zoomScale="50" zoomScaleNormal="50" zoomScaleSheetLayoutView="100" workbookViewId="0">
      <pane ySplit="2" topLeftCell="A8" activePane="bottomLeft" state="frozen"/>
      <selection activeCell="C6" sqref="C6"/>
      <selection pane="bottomLeft" activeCell="L10" sqref="L10"/>
    </sheetView>
  </sheetViews>
  <sheetFormatPr baseColWidth="10" defaultColWidth="41" defaultRowHeight="20.25" x14ac:dyDescent="0.3"/>
  <cols>
    <col min="1" max="1" width="20.7109375" style="442" customWidth="1"/>
    <col min="2" max="2" width="28.42578125" style="311" customWidth="1"/>
    <col min="3" max="3" width="17.5703125" style="311" customWidth="1"/>
    <col min="4" max="4" width="31.42578125" style="311" customWidth="1"/>
    <col min="5" max="5" width="44.5703125" style="443" customWidth="1"/>
    <col min="6" max="6" width="33.140625" style="311" hidden="1" customWidth="1"/>
    <col min="7" max="7" width="29.85546875" style="445" hidden="1" customWidth="1"/>
    <col min="8" max="8" width="33.28515625" style="445" hidden="1" customWidth="1"/>
    <col min="9" max="9" width="57.140625" style="445" hidden="1" customWidth="1"/>
    <col min="10" max="10" width="29.85546875" style="311" hidden="1" customWidth="1"/>
    <col min="11" max="11" width="43.85546875" style="463" customWidth="1"/>
    <col min="12" max="12" width="29.85546875" style="463" customWidth="1"/>
    <col min="13" max="13" width="34.42578125" style="463" customWidth="1"/>
    <col min="14" max="14" width="31.7109375" style="463" customWidth="1"/>
    <col min="15" max="15" width="32" style="463" customWidth="1"/>
    <col min="16" max="16" width="22.42578125" style="463" customWidth="1"/>
    <col min="17" max="17" width="21" style="463" customWidth="1"/>
    <col min="18" max="18" width="17.5703125" style="464" customWidth="1"/>
    <col min="19" max="19" width="22.140625" style="464" customWidth="1"/>
    <col min="20" max="20" width="25.85546875" style="464" customWidth="1"/>
    <col min="21" max="21" width="37.7109375" style="464" customWidth="1"/>
    <col min="22" max="22" width="27" style="463" customWidth="1"/>
    <col min="23" max="23" width="26.42578125" style="464" customWidth="1"/>
    <col min="24" max="24" width="24" style="464" customWidth="1"/>
    <col min="25" max="25" width="23.140625" style="463" customWidth="1"/>
    <col min="26" max="26" width="29.85546875" style="465" customWidth="1"/>
    <col min="27" max="27" width="27.140625" style="463" customWidth="1"/>
    <col min="28" max="28" width="41" style="466" customWidth="1"/>
    <col min="29" max="29" width="23.140625" style="466" customWidth="1"/>
    <col min="30" max="30" width="41" style="313" customWidth="1"/>
    <col min="31" max="16384" width="41" style="313"/>
  </cols>
  <sheetData>
    <row r="1" spans="1:32" x14ac:dyDescent="0.3">
      <c r="A1" s="311"/>
      <c r="B1" s="312"/>
      <c r="C1" s="312"/>
      <c r="D1" s="559"/>
      <c r="E1" s="560"/>
      <c r="F1" s="559"/>
      <c r="G1" s="559"/>
      <c r="H1" s="559"/>
      <c r="I1" s="559"/>
      <c r="J1" s="559"/>
      <c r="K1" s="559"/>
      <c r="L1" s="559"/>
      <c r="M1" s="559"/>
      <c r="N1" s="561"/>
      <c r="O1" s="561"/>
      <c r="P1" s="559"/>
      <c r="Q1" s="559"/>
      <c r="R1" s="559"/>
      <c r="S1" s="559"/>
      <c r="T1" s="559"/>
      <c r="U1" s="559"/>
      <c r="V1" s="562"/>
      <c r="W1" s="562"/>
      <c r="X1" s="562"/>
      <c r="Y1" s="561"/>
      <c r="Z1" s="561"/>
      <c r="AA1" s="561"/>
      <c r="AB1" s="562"/>
      <c r="AC1" s="562"/>
      <c r="AD1" s="562"/>
    </row>
    <row r="2" spans="1:32" x14ac:dyDescent="0.3">
      <c r="A2" s="311"/>
      <c r="D2" s="559"/>
      <c r="E2" s="560"/>
      <c r="F2" s="559"/>
      <c r="G2" s="559"/>
      <c r="H2" s="559"/>
      <c r="I2" s="559"/>
      <c r="J2" s="559"/>
      <c r="K2" s="559"/>
      <c r="L2" s="559"/>
      <c r="M2" s="559"/>
      <c r="N2" s="561"/>
      <c r="O2" s="561"/>
      <c r="P2" s="559"/>
      <c r="Q2" s="559"/>
      <c r="R2" s="559"/>
      <c r="S2" s="559"/>
      <c r="T2" s="559"/>
      <c r="U2" s="559"/>
      <c r="V2" s="562"/>
      <c r="W2" s="562"/>
      <c r="X2" s="562"/>
      <c r="Y2" s="561"/>
      <c r="Z2" s="561"/>
      <c r="AA2" s="561"/>
      <c r="AB2" s="562"/>
      <c r="AC2" s="562"/>
      <c r="AD2" s="562"/>
    </row>
    <row r="3" spans="1:32" x14ac:dyDescent="0.3">
      <c r="A3" s="311"/>
      <c r="B3" s="314"/>
      <c r="C3" s="315"/>
      <c r="D3" s="315"/>
      <c r="E3" s="316" t="s">
        <v>327</v>
      </c>
      <c r="F3" s="315"/>
      <c r="G3" s="317"/>
      <c r="H3" s="317"/>
      <c r="I3" s="317"/>
      <c r="J3" s="315"/>
      <c r="K3" s="318"/>
      <c r="L3" s="318"/>
      <c r="M3" s="318"/>
      <c r="N3" s="318"/>
      <c r="O3" s="318"/>
      <c r="P3" s="318"/>
      <c r="Q3" s="318"/>
      <c r="R3" s="319"/>
      <c r="S3" s="319"/>
      <c r="T3" s="319"/>
      <c r="U3" s="319"/>
      <c r="V3" s="318"/>
      <c r="W3" s="320"/>
      <c r="X3" s="320"/>
      <c r="Y3" s="318"/>
      <c r="Z3" s="318"/>
      <c r="AA3" s="318"/>
      <c r="AB3" s="320"/>
      <c r="AC3" s="320"/>
      <c r="AD3" s="321"/>
    </row>
    <row r="4" spans="1:32" x14ac:dyDescent="0.3">
      <c r="A4" s="311"/>
      <c r="B4" s="314"/>
      <c r="C4" s="315"/>
      <c r="D4" s="315"/>
      <c r="E4" s="316" t="s">
        <v>328</v>
      </c>
      <c r="F4" s="315"/>
      <c r="G4" s="317"/>
      <c r="H4" s="317"/>
      <c r="I4" s="317"/>
      <c r="J4" s="315"/>
      <c r="K4" s="318"/>
      <c r="L4" s="318"/>
      <c r="M4" s="318"/>
      <c r="N4" s="318"/>
      <c r="O4" s="318"/>
      <c r="P4" s="318"/>
      <c r="Q4" s="318"/>
      <c r="R4" s="319"/>
      <c r="S4" s="319"/>
      <c r="T4" s="319"/>
      <c r="U4" s="319"/>
      <c r="V4" s="318"/>
      <c r="W4" s="320"/>
      <c r="X4" s="320"/>
      <c r="Y4" s="318"/>
      <c r="Z4" s="318"/>
      <c r="AA4" s="318"/>
      <c r="AB4" s="320"/>
      <c r="AC4" s="320"/>
      <c r="AD4" s="321"/>
    </row>
    <row r="5" spans="1:32" x14ac:dyDescent="0.3">
      <c r="A5" s="311"/>
      <c r="B5" s="314"/>
      <c r="C5" s="315"/>
      <c r="D5" s="315"/>
      <c r="E5" s="316" t="s">
        <v>329</v>
      </c>
      <c r="F5" s="315"/>
      <c r="G5" s="317"/>
      <c r="H5" s="317"/>
      <c r="I5" s="317"/>
      <c r="J5" s="315"/>
      <c r="K5" s="318"/>
      <c r="L5" s="318"/>
      <c r="M5" s="318"/>
      <c r="N5" s="318"/>
      <c r="O5" s="318"/>
      <c r="P5" s="318"/>
      <c r="Q5" s="318"/>
      <c r="R5" s="319"/>
      <c r="S5" s="319"/>
      <c r="T5" s="319"/>
      <c r="U5" s="319"/>
      <c r="V5" s="318"/>
      <c r="W5" s="320"/>
      <c r="X5" s="320"/>
      <c r="Y5" s="318"/>
      <c r="Z5" s="318"/>
      <c r="AA5" s="318"/>
      <c r="AB5" s="320"/>
      <c r="AC5" s="320"/>
      <c r="AD5" s="321"/>
    </row>
    <row r="6" spans="1:32" ht="25.5" customHeight="1" x14ac:dyDescent="0.3">
      <c r="A6" s="322"/>
      <c r="B6" s="323"/>
      <c r="C6" s="324"/>
      <c r="D6" s="324"/>
      <c r="E6" s="325"/>
      <c r="F6" s="326">
        <f>+SUBTOTAL(109,F8:F183)</f>
        <v>2239011590</v>
      </c>
      <c r="G6" s="326">
        <f>+SUBTOTAL(109,G8:G183)</f>
        <v>1008000000</v>
      </c>
      <c r="H6" s="326">
        <f>+SUBTOTAL(109,H8:H183)</f>
        <v>4000000</v>
      </c>
      <c r="I6" s="326">
        <f>+SUBTOTAL(109,I8:I183)</f>
        <v>3251011590</v>
      </c>
      <c r="J6" s="315"/>
      <c r="K6" s="327"/>
      <c r="L6" s="326">
        <f t="shared" ref="L6:Q6" si="0">+SUBTOTAL(109,L8:L183)</f>
        <v>1909592166</v>
      </c>
      <c r="M6" s="326">
        <f t="shared" si="0"/>
        <v>329419424</v>
      </c>
      <c r="N6" s="326">
        <f t="shared" si="0"/>
        <v>992955795</v>
      </c>
      <c r="O6" s="326">
        <f t="shared" si="0"/>
        <v>15044204.999999974</v>
      </c>
      <c r="P6" s="326">
        <f t="shared" si="0"/>
        <v>4000000</v>
      </c>
      <c r="Q6" s="326">
        <f t="shared" si="0"/>
        <v>0</v>
      </c>
      <c r="R6" s="328"/>
      <c r="S6" s="326">
        <f t="shared" ref="S6:AD6" si="1">+SUBTOTAL(109,S8:S183)</f>
        <v>3315469</v>
      </c>
      <c r="T6" s="326">
        <f t="shared" si="1"/>
        <v>0</v>
      </c>
      <c r="U6" s="326">
        <f t="shared" si="1"/>
        <v>0</v>
      </c>
      <c r="V6" s="326">
        <f t="shared" si="1"/>
        <v>1871935280</v>
      </c>
      <c r="W6" s="326">
        <f t="shared" si="1"/>
        <v>367076310</v>
      </c>
      <c r="X6" s="329">
        <f t="shared" si="1"/>
        <v>1257229375.3799999</v>
      </c>
      <c r="Y6" s="326">
        <f t="shared" si="1"/>
        <v>948198808</v>
      </c>
      <c r="Z6" s="326">
        <f t="shared" si="1"/>
        <v>59801191.99999997</v>
      </c>
      <c r="AA6" s="329">
        <f t="shared" si="1"/>
        <v>654284555</v>
      </c>
      <c r="AB6" s="326">
        <f t="shared" si="1"/>
        <v>4000000</v>
      </c>
      <c r="AC6" s="326">
        <f t="shared" si="1"/>
        <v>0</v>
      </c>
      <c r="AD6" s="329">
        <f t="shared" si="1"/>
        <v>2099150</v>
      </c>
    </row>
    <row r="7" spans="1:32" ht="78" customHeight="1" x14ac:dyDescent="0.3">
      <c r="A7" s="330" t="s">
        <v>959</v>
      </c>
      <c r="B7" s="517" t="s">
        <v>99</v>
      </c>
      <c r="C7" s="331" t="s">
        <v>468</v>
      </c>
      <c r="D7" s="331" t="s">
        <v>108</v>
      </c>
      <c r="E7" s="331" t="s">
        <v>0</v>
      </c>
      <c r="F7" s="332" t="s">
        <v>940</v>
      </c>
      <c r="G7" s="333" t="s">
        <v>679</v>
      </c>
      <c r="H7" s="334" t="s">
        <v>680</v>
      </c>
      <c r="I7" s="335" t="s">
        <v>681</v>
      </c>
      <c r="J7" s="331" t="s">
        <v>3</v>
      </c>
      <c r="K7" s="331" t="s">
        <v>8</v>
      </c>
      <c r="L7" s="332" t="s">
        <v>941</v>
      </c>
      <c r="M7" s="332" t="s">
        <v>545</v>
      </c>
      <c r="N7" s="333" t="s">
        <v>655</v>
      </c>
      <c r="O7" s="333" t="s">
        <v>547</v>
      </c>
      <c r="P7" s="334" t="s">
        <v>656</v>
      </c>
      <c r="Q7" s="334" t="s">
        <v>611</v>
      </c>
      <c r="R7" s="331" t="s">
        <v>9</v>
      </c>
      <c r="S7" s="336" t="s">
        <v>10</v>
      </c>
      <c r="T7" s="331" t="s">
        <v>11</v>
      </c>
      <c r="U7" s="331" t="s">
        <v>12</v>
      </c>
      <c r="V7" s="332" t="s">
        <v>942</v>
      </c>
      <c r="W7" s="332" t="s">
        <v>915</v>
      </c>
      <c r="X7" s="337" t="s">
        <v>912</v>
      </c>
      <c r="Y7" s="333" t="s">
        <v>657</v>
      </c>
      <c r="Z7" s="333" t="s">
        <v>916</v>
      </c>
      <c r="AA7" s="337" t="s">
        <v>913</v>
      </c>
      <c r="AB7" s="334" t="s">
        <v>658</v>
      </c>
      <c r="AC7" s="334" t="s">
        <v>917</v>
      </c>
      <c r="AD7" s="337" t="s">
        <v>914</v>
      </c>
    </row>
    <row r="8" spans="1:32" ht="144.75" customHeight="1" x14ac:dyDescent="0.3">
      <c r="A8" s="338" t="s">
        <v>600</v>
      </c>
      <c r="B8" s="323">
        <v>2203003</v>
      </c>
      <c r="C8" s="324" t="s">
        <v>469</v>
      </c>
      <c r="D8" s="367" t="s">
        <v>86</v>
      </c>
      <c r="E8" s="370" t="s">
        <v>510</v>
      </c>
      <c r="F8" s="341">
        <f>'Final OAP'!K29+'Final OAP'!O29+'Final OAP'!R29-'Final OAP'!U29</f>
        <v>0</v>
      </c>
      <c r="G8" s="341">
        <f>'Final OAP'!L29+'Final OAP'!P29+'Final OAP'!S29-'Final OAP'!V29</f>
        <v>0</v>
      </c>
      <c r="H8" s="341">
        <f>'Final OAP'!M29+'Final OAP'!Q29+'Final OAP'!T29-'Final OAP'!W29</f>
        <v>0</v>
      </c>
      <c r="I8" s="341">
        <f t="shared" ref="I8" si="2">+G8+H8+F8</f>
        <v>0</v>
      </c>
      <c r="J8" s="309" t="s">
        <v>59</v>
      </c>
      <c r="K8" s="306"/>
      <c r="L8" s="488"/>
      <c r="M8" s="489">
        <f t="shared" ref="M8" si="3">F8-L8</f>
        <v>0</v>
      </c>
      <c r="N8" s="490"/>
      <c r="O8" s="490">
        <f t="shared" ref="O8" si="4">+G8-N8</f>
        <v>0</v>
      </c>
      <c r="P8" s="345"/>
      <c r="Q8" s="346">
        <f t="shared" ref="Q8" si="5">H8-P8</f>
        <v>0</v>
      </c>
      <c r="R8" s="306"/>
      <c r="S8" s="361"/>
      <c r="T8" s="306"/>
      <c r="U8" s="306"/>
      <c r="V8" s="369"/>
      <c r="W8" s="350">
        <f t="shared" ref="W8" si="6">F8-V8</f>
        <v>0</v>
      </c>
      <c r="X8" s="368"/>
      <c r="Y8" s="368"/>
      <c r="Z8" s="351">
        <f t="shared" ref="Z8" si="7">G8-Y8</f>
        <v>0</v>
      </c>
      <c r="AA8" s="368"/>
      <c r="AB8" s="369"/>
      <c r="AC8" s="353">
        <f t="shared" ref="AC8" si="8">H8-AB8</f>
        <v>0</v>
      </c>
      <c r="AD8" s="354"/>
    </row>
    <row r="9" spans="1:32" ht="186" customHeight="1" x14ac:dyDescent="0.3">
      <c r="A9" s="378" t="s">
        <v>620</v>
      </c>
      <c r="B9" s="323">
        <v>2203018</v>
      </c>
      <c r="C9" s="324" t="s">
        <v>470</v>
      </c>
      <c r="D9" s="379" t="s">
        <v>63</v>
      </c>
      <c r="E9" s="373" t="s">
        <v>1073</v>
      </c>
      <c r="F9" s="341">
        <f>'Final OAP'!K51+'Final OAP'!O51+'Final OAP'!R51-'Final OAP'!U51</f>
        <v>0</v>
      </c>
      <c r="G9" s="341">
        <f>'Final OAP'!L51+'Final OAP'!P51+'Final OAP'!S51-'Final OAP'!V51</f>
        <v>22723490</v>
      </c>
      <c r="H9" s="341">
        <f>'Final OAP'!M51+'Final OAP'!Q51+'Final OAP'!T51-'Final OAP'!W51</f>
        <v>0</v>
      </c>
      <c r="I9" s="341">
        <f t="shared" ref="I9:I40" si="9">+G9+H9+F9</f>
        <v>22723490</v>
      </c>
      <c r="J9" s="309" t="s">
        <v>59</v>
      </c>
      <c r="K9" s="360">
        <v>33519</v>
      </c>
      <c r="L9" s="488"/>
      <c r="M9" s="489">
        <f t="shared" ref="M9:M40" si="10">F9-L9</f>
        <v>0</v>
      </c>
      <c r="N9" s="491">
        <f>23186110-462620</f>
        <v>22723490</v>
      </c>
      <c r="O9" s="490">
        <f t="shared" ref="O9:O40" si="11">+G9-N9</f>
        <v>0</v>
      </c>
      <c r="P9" s="345"/>
      <c r="Q9" s="346">
        <f t="shared" ref="Q9:Q40" si="12">H9-P9</f>
        <v>0</v>
      </c>
      <c r="R9" s="360" t="s">
        <v>1111</v>
      </c>
      <c r="S9" s="361" t="s">
        <v>1110</v>
      </c>
      <c r="T9" s="306" t="s">
        <v>1092</v>
      </c>
      <c r="U9" s="306" t="s">
        <v>777</v>
      </c>
      <c r="V9" s="369"/>
      <c r="W9" s="350">
        <f t="shared" ref="W9:W40" si="13">F9-V9</f>
        <v>0</v>
      </c>
      <c r="X9" s="350"/>
      <c r="Y9" s="368">
        <v>22723490</v>
      </c>
      <c r="Z9" s="556">
        <f t="shared" ref="Z9:Z40" si="14">G9-Y9</f>
        <v>0</v>
      </c>
      <c r="AA9" s="368"/>
      <c r="AB9" s="369"/>
      <c r="AC9" s="353">
        <f t="shared" ref="AC9:AC40" si="15">H9-AB9</f>
        <v>0</v>
      </c>
      <c r="AD9" s="354"/>
    </row>
    <row r="10" spans="1:32" s="322" customFormat="1" ht="218.25" customHeight="1" x14ac:dyDescent="0.25">
      <c r="A10" s="338" t="s">
        <v>597</v>
      </c>
      <c r="B10" s="323">
        <v>2203018</v>
      </c>
      <c r="C10" s="324" t="s">
        <v>470</v>
      </c>
      <c r="D10" s="379" t="s">
        <v>63</v>
      </c>
      <c r="E10" s="377" t="s">
        <v>298</v>
      </c>
      <c r="F10" s="341">
        <f>'Final OAP'!K52+'Final OAP'!O52+'Final OAP'!R52-'Final OAP'!U52</f>
        <v>69540645</v>
      </c>
      <c r="G10" s="341">
        <f>'Final OAP'!L52+'Final OAP'!P52+'Final OAP'!S52-'Final OAP'!V52</f>
        <v>21315756</v>
      </c>
      <c r="H10" s="341">
        <f>'Final OAP'!M52+'Final OAP'!Q52+'Final OAP'!T52-'Final OAP'!W52</f>
        <v>0</v>
      </c>
      <c r="I10" s="341">
        <f t="shared" si="9"/>
        <v>90856401</v>
      </c>
      <c r="J10" s="309" t="s">
        <v>59</v>
      </c>
      <c r="K10" s="360" t="s">
        <v>1014</v>
      </c>
      <c r="L10" s="488">
        <f>69989493-448848</f>
        <v>69540645</v>
      </c>
      <c r="M10" s="489">
        <f t="shared" si="10"/>
        <v>0</v>
      </c>
      <c r="N10" s="491">
        <v>21315756</v>
      </c>
      <c r="O10" s="490">
        <f t="shared" si="11"/>
        <v>0</v>
      </c>
      <c r="P10" s="345"/>
      <c r="Q10" s="346">
        <f t="shared" si="12"/>
        <v>0</v>
      </c>
      <c r="R10" s="441" t="s">
        <v>1025</v>
      </c>
      <c r="S10" s="361" t="s">
        <v>1026</v>
      </c>
      <c r="T10" s="306" t="s">
        <v>776</v>
      </c>
      <c r="U10" s="306" t="s">
        <v>777</v>
      </c>
      <c r="V10" s="369">
        <v>69540645</v>
      </c>
      <c r="W10" s="350">
        <f t="shared" si="13"/>
        <v>0</v>
      </c>
      <c r="X10" s="350">
        <v>69540645</v>
      </c>
      <c r="Y10" s="368">
        <v>21315756</v>
      </c>
      <c r="Z10" s="351">
        <f t="shared" si="14"/>
        <v>0</v>
      </c>
      <c r="AA10" s="368">
        <v>21315756</v>
      </c>
      <c r="AB10" s="369"/>
      <c r="AC10" s="353">
        <f t="shared" si="15"/>
        <v>0</v>
      </c>
      <c r="AD10" s="354"/>
    </row>
    <row r="11" spans="1:32" s="322" customFormat="1" ht="182.25" x14ac:dyDescent="0.25">
      <c r="A11" s="338" t="s">
        <v>587</v>
      </c>
      <c r="B11" s="323">
        <v>2203003</v>
      </c>
      <c r="C11" s="324" t="s">
        <v>469</v>
      </c>
      <c r="D11" s="339" t="s">
        <v>134</v>
      </c>
      <c r="E11" s="340" t="s">
        <v>546</v>
      </c>
      <c r="F11" s="341">
        <f>'Final OAP'!K8+'Final OAP'!O8+'Final OAP'!R8-'Final OAP'!U8</f>
        <v>0</v>
      </c>
      <c r="G11" s="341">
        <f>'Final OAP'!L8+'Final OAP'!P8+'Final OAP'!S8-'Final OAP'!V8</f>
        <v>13950000</v>
      </c>
      <c r="H11" s="341">
        <f>'Final OAP'!M8+'Final OAP'!Q8+'Final OAP'!T8-'Final OAP'!W8</f>
        <v>0</v>
      </c>
      <c r="I11" s="341">
        <f t="shared" si="9"/>
        <v>13950000</v>
      </c>
      <c r="J11" s="309" t="s">
        <v>59</v>
      </c>
      <c r="K11" s="342">
        <v>6519</v>
      </c>
      <c r="L11" s="343"/>
      <c r="M11" s="344">
        <f t="shared" si="10"/>
        <v>0</v>
      </c>
      <c r="N11" s="343">
        <v>13950000</v>
      </c>
      <c r="O11" s="343">
        <f t="shared" si="11"/>
        <v>0</v>
      </c>
      <c r="P11" s="345"/>
      <c r="Q11" s="346">
        <f t="shared" si="12"/>
        <v>0</v>
      </c>
      <c r="R11" s="347">
        <v>14419</v>
      </c>
      <c r="S11" s="348">
        <v>43559</v>
      </c>
      <c r="T11" s="349" t="s">
        <v>732</v>
      </c>
      <c r="U11" s="349" t="s">
        <v>733</v>
      </c>
      <c r="V11" s="349"/>
      <c r="W11" s="350">
        <f t="shared" si="13"/>
        <v>0</v>
      </c>
      <c r="X11" s="343"/>
      <c r="Y11" s="343">
        <v>13950000</v>
      </c>
      <c r="Z11" s="351">
        <f t="shared" si="14"/>
        <v>0</v>
      </c>
      <c r="AA11" s="343">
        <f>6200000+1550000+1550000+1550000+1550000</f>
        <v>12400000</v>
      </c>
      <c r="AB11" s="352"/>
      <c r="AC11" s="353">
        <f t="shared" si="15"/>
        <v>0</v>
      </c>
      <c r="AD11" s="354"/>
      <c r="AE11" s="552">
        <f>+AA11-[4]PAA!$AA$5</f>
        <v>3100000</v>
      </c>
    </row>
    <row r="12" spans="1:32" s="322" customFormat="1" ht="205.5" customHeight="1" x14ac:dyDescent="0.25">
      <c r="A12" s="338" t="s">
        <v>587</v>
      </c>
      <c r="B12" s="323">
        <v>2203003</v>
      </c>
      <c r="C12" s="324" t="s">
        <v>469</v>
      </c>
      <c r="D12" s="339" t="s">
        <v>134</v>
      </c>
      <c r="E12" s="340" t="s">
        <v>409</v>
      </c>
      <c r="F12" s="341">
        <f>'Final OAP'!K9+'Final OAP'!O9+'Final OAP'!R9-'Final OAP'!U9</f>
        <v>0</v>
      </c>
      <c r="G12" s="341">
        <f>'Final OAP'!L9+'Final OAP'!P9+'Final OAP'!S9-'Final OAP'!V9</f>
        <v>27034461</v>
      </c>
      <c r="H12" s="341">
        <f>'Final OAP'!M9+'Final OAP'!Q9+'Final OAP'!T9-'Final OAP'!W9</f>
        <v>0</v>
      </c>
      <c r="I12" s="341">
        <f t="shared" si="9"/>
        <v>27034461</v>
      </c>
      <c r="J12" s="309" t="s">
        <v>59</v>
      </c>
      <c r="K12" s="355">
        <v>7019</v>
      </c>
      <c r="L12" s="343"/>
      <c r="M12" s="344">
        <f t="shared" si="10"/>
        <v>0</v>
      </c>
      <c r="N12" s="343">
        <v>27034461</v>
      </c>
      <c r="O12" s="343">
        <f t="shared" si="11"/>
        <v>0</v>
      </c>
      <c r="P12" s="345"/>
      <c r="Q12" s="346">
        <f t="shared" si="12"/>
        <v>0</v>
      </c>
      <c r="R12" s="347">
        <v>13319</v>
      </c>
      <c r="S12" s="348">
        <v>43553</v>
      </c>
      <c r="T12" s="347" t="s">
        <v>718</v>
      </c>
      <c r="U12" s="347" t="s">
        <v>720</v>
      </c>
      <c r="V12" s="349"/>
      <c r="W12" s="350">
        <f t="shared" si="13"/>
        <v>0</v>
      </c>
      <c r="X12" s="343"/>
      <c r="Y12" s="343">
        <v>27034461</v>
      </c>
      <c r="Z12" s="351">
        <f t="shared" si="14"/>
        <v>0</v>
      </c>
      <c r="AA12" s="343">
        <f>12015316+3003829+3003829+3003829+3003829+3003829</f>
        <v>27034461</v>
      </c>
      <c r="AB12" s="352"/>
      <c r="AC12" s="353">
        <f t="shared" si="15"/>
        <v>0</v>
      </c>
      <c r="AD12" s="354"/>
    </row>
    <row r="13" spans="1:32" s="322" customFormat="1" ht="182.25" x14ac:dyDescent="0.25">
      <c r="A13" s="338" t="s">
        <v>587</v>
      </c>
      <c r="B13" s="323">
        <v>2203003</v>
      </c>
      <c r="C13" s="324" t="s">
        <v>469</v>
      </c>
      <c r="D13" s="339" t="s">
        <v>134</v>
      </c>
      <c r="E13" s="340" t="s">
        <v>686</v>
      </c>
      <c r="F13" s="341">
        <f>'Final OAP'!K10+'Final OAP'!O10+'Final OAP'!R10-'Final OAP'!U10</f>
        <v>0</v>
      </c>
      <c r="G13" s="341">
        <f>'Final OAP'!L10+'Final OAP'!P10+'Final OAP'!S10-'Final OAP'!V10</f>
        <v>27034461</v>
      </c>
      <c r="H13" s="341">
        <f>'Final OAP'!M10+'Final OAP'!Q10+'Final OAP'!T10-'Final OAP'!W10</f>
        <v>0</v>
      </c>
      <c r="I13" s="341">
        <f t="shared" si="9"/>
        <v>27034461</v>
      </c>
      <c r="J13" s="309" t="s">
        <v>59</v>
      </c>
      <c r="K13" s="355">
        <v>7119</v>
      </c>
      <c r="L13" s="343"/>
      <c r="M13" s="344">
        <f t="shared" si="10"/>
        <v>0</v>
      </c>
      <c r="N13" s="343">
        <v>27034461</v>
      </c>
      <c r="O13" s="343">
        <f t="shared" si="11"/>
        <v>0</v>
      </c>
      <c r="P13" s="345"/>
      <c r="Q13" s="346">
        <f t="shared" si="12"/>
        <v>0</v>
      </c>
      <c r="R13" s="347">
        <v>13419</v>
      </c>
      <c r="S13" s="348">
        <v>43553</v>
      </c>
      <c r="T13" s="347" t="s">
        <v>719</v>
      </c>
      <c r="U13" s="347" t="s">
        <v>721</v>
      </c>
      <c r="V13" s="349"/>
      <c r="W13" s="350">
        <f t="shared" si="13"/>
        <v>0</v>
      </c>
      <c r="X13" s="343"/>
      <c r="Y13" s="343">
        <v>27034461</v>
      </c>
      <c r="Z13" s="351">
        <f t="shared" si="14"/>
        <v>0</v>
      </c>
      <c r="AA13" s="343">
        <f>12015316+3003829+3003829+3003829+3003829+3003829</f>
        <v>27034461</v>
      </c>
      <c r="AB13" s="352"/>
      <c r="AC13" s="353">
        <f t="shared" si="15"/>
        <v>0</v>
      </c>
      <c r="AD13" s="354"/>
    </row>
    <row r="14" spans="1:32" s="322" customFormat="1" ht="43.5" customHeight="1" x14ac:dyDescent="0.25">
      <c r="A14" s="338" t="s">
        <v>612</v>
      </c>
      <c r="B14" s="323">
        <v>2203003</v>
      </c>
      <c r="C14" s="324" t="s">
        <v>469</v>
      </c>
      <c r="D14" s="339" t="s">
        <v>134</v>
      </c>
      <c r="E14" s="340" t="s">
        <v>412</v>
      </c>
      <c r="F14" s="341">
        <f>'Final OAP'!K11+'Final OAP'!O11+'Final OAP'!R11-'Final OAP'!U11</f>
        <v>0</v>
      </c>
      <c r="G14" s="341">
        <f>'Final OAP'!L11+'Final OAP'!P11+'Final OAP'!S11-'Final OAP'!V11</f>
        <v>0</v>
      </c>
      <c r="H14" s="341">
        <f>'Final OAP'!M11+'Final OAP'!Q11+'Final OAP'!T11-'Final OAP'!W11</f>
        <v>0</v>
      </c>
      <c r="I14" s="341">
        <f t="shared" si="9"/>
        <v>0</v>
      </c>
      <c r="J14" s="309" t="s">
        <v>59</v>
      </c>
      <c r="K14" s="349"/>
      <c r="L14" s="343"/>
      <c r="M14" s="344">
        <f t="shared" si="10"/>
        <v>0</v>
      </c>
      <c r="N14" s="343"/>
      <c r="O14" s="343">
        <f t="shared" si="11"/>
        <v>0</v>
      </c>
      <c r="P14" s="345"/>
      <c r="Q14" s="346">
        <f t="shared" si="12"/>
        <v>0</v>
      </c>
      <c r="R14" s="349"/>
      <c r="S14" s="348"/>
      <c r="T14" s="349"/>
      <c r="U14" s="349"/>
      <c r="V14" s="349"/>
      <c r="W14" s="350">
        <f t="shared" si="13"/>
        <v>0</v>
      </c>
      <c r="X14" s="343"/>
      <c r="Y14" s="343"/>
      <c r="Z14" s="351">
        <f t="shared" si="14"/>
        <v>0</v>
      </c>
      <c r="AA14" s="343"/>
      <c r="AB14" s="352"/>
      <c r="AC14" s="353">
        <f t="shared" si="15"/>
        <v>0</v>
      </c>
      <c r="AD14" s="354"/>
    </row>
    <row r="15" spans="1:32" s="322" customFormat="1" ht="409.5" customHeight="1" x14ac:dyDescent="0.25">
      <c r="A15" s="338" t="s">
        <v>592</v>
      </c>
      <c r="B15" s="323">
        <v>2203003</v>
      </c>
      <c r="C15" s="324" t="s">
        <v>469</v>
      </c>
      <c r="D15" s="339" t="s">
        <v>134</v>
      </c>
      <c r="E15" s="340" t="s">
        <v>295</v>
      </c>
      <c r="F15" s="341">
        <f>'Final OAP'!K12+'Final OAP'!O12+'Final OAP'!R12-'Final OAP'!U12</f>
        <v>0</v>
      </c>
      <c r="G15" s="341">
        <f>'Final OAP'!L12+'Final OAP'!P12+'Final OAP'!S12-'Final OAP'!V12</f>
        <v>6927000</v>
      </c>
      <c r="H15" s="341">
        <f>'Final OAP'!M12+'Final OAP'!Q12+'Final OAP'!T12-'Final OAP'!W12</f>
        <v>0</v>
      </c>
      <c r="I15" s="341">
        <f t="shared" si="9"/>
        <v>6927000</v>
      </c>
      <c r="J15" s="309" t="s">
        <v>59</v>
      </c>
      <c r="K15" s="356" t="s">
        <v>1121</v>
      </c>
      <c r="L15" s="343"/>
      <c r="M15" s="344">
        <f t="shared" si="10"/>
        <v>0</v>
      </c>
      <c r="N15" s="343">
        <f>110000+92000+82000+50000+50000+60000+105000+90000+120000-120000+130000+110000+20000+110000+120000+220000+50000+100000+120000+130000+50000+60000+60000+70000+50000+50000+66000+40000+50000+50000+60000+100000+50000+145000+60000+50000+140000+50000+50000+50000+70000+60000+119000+60000+60000+75000-7000-10000+10000+140000+120000-140000+145000+50000+180000+60000+110000-110000+105000-105000+50000+50000+60000-60000+50000-50000-185642+60000+110000+220000+70000+50000+98000+200000+130000+50000+50000-50000+50000+80000+92642+100000-100000+100000+60000+105000+75000+50000+120000+50000+50000+60000+114000+50000+195000+120000+140000+50000+50000+65000+50000+50000+50000+66000+60000+30000</f>
        <v>6927000</v>
      </c>
      <c r="O15" s="343">
        <f>+G15-N15</f>
        <v>0</v>
      </c>
      <c r="P15" s="345"/>
      <c r="Q15" s="346">
        <f t="shared" si="12"/>
        <v>0</v>
      </c>
      <c r="R15" s="342" t="s">
        <v>1181</v>
      </c>
      <c r="S15" s="348" t="s">
        <v>1182</v>
      </c>
      <c r="T15" s="342" t="s">
        <v>1183</v>
      </c>
      <c r="U15" s="349" t="s">
        <v>693</v>
      </c>
      <c r="V15" s="349"/>
      <c r="W15" s="350">
        <f t="shared" si="13"/>
        <v>0</v>
      </c>
      <c r="X15" s="343"/>
      <c r="Y15" s="343">
        <f>110000+92000+82000+50000+50000+60000+105000+90000+120000-120000+130000+110000+20000+110000+120000+220000+50000+100000+120000+130000+50000+60000+60000+70000+50000+50000+66000+40000+50000+50000+60000+100000+50000+145000+60000+50000+140000+50000+50000+50000+70000+60000+119000+60000+60000+75000-7000-10000+10000+140000+120000-140000+145000+50000+180000+60000+50000+50000+60000+110000+220000+70000+50000+98000+200000+130000+50000+50000+80000+7000+60000+75000+50000+50000+105000+60000+50000+50000+114000+120000+50000+195000+120000+50000+50000+66000+60000+50000+140000+50000+65000+30000</f>
        <v>6927000</v>
      </c>
      <c r="Z15" s="556">
        <f>G15-Y15</f>
        <v>0</v>
      </c>
      <c r="AA15" s="343">
        <f>110000+92000+82000+50000+50000+60000+105000+90000+120000-120000+130000+110000+20000+110000+120000+220000+50000+100000+120000+130000+50000+60000+60000+70000+50000+50000+66000+40000+50000+50000+60000+100000+50000+145000+60000+50000+140000+50000+50000+50000+70000+60000+119000+60000+60000+75000-7000-10000+10000+140000+120000-140000+145000+50000+180000+60000+50000+50000+60000+110000+220000+70000+50000+98000+200000+130000+50000+50000+80000+7000+60000+75000+50000+50000+105000+60000+50000+50000+114000+120000+50000+195000+120000+50000+50000+66000+60000+50000+140000+50000+65000+30000</f>
        <v>6927000</v>
      </c>
      <c r="AB15" s="352"/>
      <c r="AC15" s="353">
        <f t="shared" si="15"/>
        <v>0</v>
      </c>
      <c r="AD15" s="354"/>
      <c r="AE15" s="553">
        <f>+Y15-AA15</f>
        <v>0</v>
      </c>
    </row>
    <row r="16" spans="1:32" s="322" customFormat="1" ht="182.25" x14ac:dyDescent="0.25">
      <c r="A16" s="338" t="s">
        <v>592</v>
      </c>
      <c r="B16" s="323">
        <v>2203003</v>
      </c>
      <c r="C16" s="324" t="s">
        <v>469</v>
      </c>
      <c r="D16" s="339" t="s">
        <v>134</v>
      </c>
      <c r="E16" s="340" t="s">
        <v>416</v>
      </c>
      <c r="F16" s="341">
        <f>'Final OAP'!K13+'Final OAP'!O13+'Final OAP'!R13-'Final OAP'!U13</f>
        <v>0</v>
      </c>
      <c r="G16" s="341">
        <f>'Final OAP'!L13+'Final OAP'!P13+'Final OAP'!S13-'Final OAP'!V13</f>
        <v>26300000</v>
      </c>
      <c r="H16" s="341">
        <f>'Final OAP'!M13+'Final OAP'!Q13+'Final OAP'!T13-'Final OAP'!W13</f>
        <v>0</v>
      </c>
      <c r="I16" s="341">
        <f t="shared" si="9"/>
        <v>26300000</v>
      </c>
      <c r="J16" s="309" t="s">
        <v>59</v>
      </c>
      <c r="K16" s="360">
        <v>17819</v>
      </c>
      <c r="L16" s="343"/>
      <c r="M16" s="344">
        <f t="shared" si="10"/>
        <v>0</v>
      </c>
      <c r="N16" s="343">
        <v>26300000</v>
      </c>
      <c r="O16" s="343">
        <f t="shared" si="11"/>
        <v>0</v>
      </c>
      <c r="P16" s="345"/>
      <c r="Q16" s="346">
        <f t="shared" si="12"/>
        <v>0</v>
      </c>
      <c r="R16" s="355">
        <v>39119</v>
      </c>
      <c r="S16" s="348">
        <v>43710</v>
      </c>
      <c r="T16" s="349" t="s">
        <v>968</v>
      </c>
      <c r="U16" s="349" t="s">
        <v>969</v>
      </c>
      <c r="V16" s="349"/>
      <c r="W16" s="350">
        <f t="shared" si="13"/>
        <v>0</v>
      </c>
      <c r="X16" s="343"/>
      <c r="Y16" s="343">
        <v>26300000</v>
      </c>
      <c r="Z16" s="549">
        <f>G16-Y16</f>
        <v>0</v>
      </c>
      <c r="AA16" s="343">
        <f>10415040+9781395+5016665</f>
        <v>25213100</v>
      </c>
      <c r="AB16" s="352"/>
      <c r="AC16" s="353">
        <f t="shared" si="15"/>
        <v>0</v>
      </c>
      <c r="AD16" s="354"/>
      <c r="AE16" s="553">
        <f>+Y17-AA17</f>
        <v>0</v>
      </c>
      <c r="AF16" s="553">
        <f>+AE16+AE15</f>
        <v>0</v>
      </c>
    </row>
    <row r="17" spans="1:33" s="322" customFormat="1" ht="194.25" customHeight="1" x14ac:dyDescent="0.25">
      <c r="A17" s="338" t="s">
        <v>613</v>
      </c>
      <c r="B17" s="324">
        <v>2203003</v>
      </c>
      <c r="C17" s="324" t="s">
        <v>469</v>
      </c>
      <c r="D17" s="518" t="s">
        <v>134</v>
      </c>
      <c r="E17" s="340" t="s">
        <v>386</v>
      </c>
      <c r="F17" s="341">
        <f>'Final OAP'!K14+'Final OAP'!O14+'Final OAP'!R14-'Final OAP'!U14</f>
        <v>2466973</v>
      </c>
      <c r="G17" s="341">
        <f>'Final OAP'!L14+'Final OAP'!P14+'Final OAP'!S14-'Final OAP'!V14</f>
        <v>53319016</v>
      </c>
      <c r="H17" s="341">
        <f>'Final OAP'!M14+'Final OAP'!Q14+'Final OAP'!T14-'Final OAP'!W14</f>
        <v>0</v>
      </c>
      <c r="I17" s="341">
        <f t="shared" si="9"/>
        <v>55785989</v>
      </c>
      <c r="J17" s="309" t="s">
        <v>59</v>
      </c>
      <c r="K17" s="356" t="s">
        <v>1088</v>
      </c>
      <c r="L17" s="343">
        <f>476808+858254+737582+163907+230422</f>
        <v>2466973</v>
      </c>
      <c r="M17" s="344">
        <f t="shared" si="10"/>
        <v>0</v>
      </c>
      <c r="N17" s="343">
        <f>627832+858254+985545+858254+573675-573675+737582+573675+81954+858254+667531+985545+476808+737582+858254+901489+245861+667531+667531+476808+1359578+1048977+858254+737582+409768+573675+667531+1204555+476808+667531+573675+645800+697571+1162440+896877+770774+697571+599491+942057+1029897+801031+129160+645800+904120-645800+599491+599491+697571+599491+697571-697571+801031-801031+498265+498265+697571+185642-697571+1096183-1096183+801031+697571+1029897+896877+896877+428208+697571+599491+428208+697571-697571+697571+428208+498265-498265+498265+171283+697571+428208+572165+498265+599491+697571+498265+99653+697571+599491+470654+572165+697571+770774+599491+697571+498265+697571+428208+428208</f>
        <v>53319016</v>
      </c>
      <c r="O17" s="343">
        <f t="shared" si="11"/>
        <v>0</v>
      </c>
      <c r="P17" s="345"/>
      <c r="Q17" s="346">
        <f t="shared" si="12"/>
        <v>0</v>
      </c>
      <c r="R17" s="355" t="s">
        <v>1066</v>
      </c>
      <c r="S17" s="348" t="s">
        <v>1067</v>
      </c>
      <c r="T17" s="342" t="s">
        <v>1068</v>
      </c>
      <c r="U17" s="349" t="s">
        <v>731</v>
      </c>
      <c r="V17" s="349">
        <f>901489+476808+858254+230422</f>
        <v>2466973</v>
      </c>
      <c r="W17" s="350">
        <f t="shared" si="13"/>
        <v>0</v>
      </c>
      <c r="X17" s="343">
        <v>2466973</v>
      </c>
      <c r="Y17" s="343">
        <f>627832+858254+985545+858254+573675-573675+737582+573675+81954+858254+667531+985545+476808+737582+858254+901489+245861+667531+667531+476808+1359578+1048977+858254+737582+409768+573675+667531+1204555+476808+667531+573675+645800+697571+1162440+896877+770774+697571+599491+942057+1029897+801031+129160+645800+904120-645800+599491+599491+697571+599491+498265+498265+801031+697571+1029897+896877+896877+428208+697571+599491+428208+697571+428208+598265+171283+85642+697571+572165+498265+498265+428208+470654+697571+697571+599491+599491+99653+697571+572165+697571+599491+697571+428208+428208+498265+770774</f>
        <v>53319016</v>
      </c>
      <c r="Z17" s="556">
        <f t="shared" si="14"/>
        <v>0</v>
      </c>
      <c r="AA17" s="343">
        <f>627832+858254+985545+858254+573675-573675+737582+573675+81954+858254+667531+985545+476808+737582+858254+901489+245861+667531+667531+476808+1359578+1048977+858254+737582+409768+573675+667531+1204555+476808+667531+573675+645800+697571+1162440+896877+770774+697571+599491+942057+1029897+801031+129160+645800+904120-645800+599491+599491+697571+599491+498265+498265+801031+697571+1029897+896877+896877+428208+697571+599491+428208+697571+428208+598265+171283+85642+697571+572165+498265+498265+428208+470654+697571+697571+599491+599491+99653+697571+572165+697571+599491+697571+428208+428208+498265+770774</f>
        <v>53319016</v>
      </c>
      <c r="AB17" s="352"/>
      <c r="AC17" s="353">
        <f t="shared" si="15"/>
        <v>0</v>
      </c>
      <c r="AD17" s="354"/>
      <c r="AF17" s="322">
        <v>8910111</v>
      </c>
    </row>
    <row r="18" spans="1:33" s="322" customFormat="1" ht="222.75" customHeight="1" x14ac:dyDescent="0.25">
      <c r="A18" s="338" t="s">
        <v>615</v>
      </c>
      <c r="B18" s="324">
        <v>2203003</v>
      </c>
      <c r="C18" s="324" t="s">
        <v>469</v>
      </c>
      <c r="D18" s="339" t="s">
        <v>134</v>
      </c>
      <c r="E18" s="340" t="s">
        <v>556</v>
      </c>
      <c r="F18" s="341">
        <f>'Final OAP'!K15+'Final OAP'!O15+'Final OAP'!R15-'Final OAP'!U15</f>
        <v>0</v>
      </c>
      <c r="G18" s="341">
        <f>'Final OAP'!L15+'Final OAP'!P15+'Final OAP'!S15-'Final OAP'!V15</f>
        <v>13900000</v>
      </c>
      <c r="H18" s="341">
        <f>'Final OAP'!M15+'Final OAP'!Q15+'Final OAP'!T15-'Final OAP'!W15</f>
        <v>0</v>
      </c>
      <c r="I18" s="341">
        <f t="shared" si="9"/>
        <v>13900000</v>
      </c>
      <c r="J18" s="309" t="s">
        <v>59</v>
      </c>
      <c r="K18" s="342" t="s">
        <v>1033</v>
      </c>
      <c r="L18" s="343"/>
      <c r="M18" s="344">
        <f t="shared" si="10"/>
        <v>0</v>
      </c>
      <c r="N18" s="343">
        <f>10000000+3900000</f>
        <v>13900000</v>
      </c>
      <c r="O18" s="343">
        <f t="shared" si="11"/>
        <v>0</v>
      </c>
      <c r="P18" s="345"/>
      <c r="Q18" s="346">
        <f t="shared" si="12"/>
        <v>0</v>
      </c>
      <c r="R18" s="349" t="s">
        <v>1114</v>
      </c>
      <c r="S18" s="348" t="s">
        <v>1115</v>
      </c>
      <c r="T18" s="349" t="s">
        <v>770</v>
      </c>
      <c r="U18" s="349" t="s">
        <v>763</v>
      </c>
      <c r="V18" s="349"/>
      <c r="W18" s="350">
        <f t="shared" si="13"/>
        <v>0</v>
      </c>
      <c r="X18" s="343"/>
      <c r="Y18" s="343">
        <f>10000000+3900000</f>
        <v>13900000</v>
      </c>
      <c r="Z18" s="547">
        <f t="shared" si="14"/>
        <v>0</v>
      </c>
      <c r="AA18" s="343">
        <f>3579550+2979000+1710250+1390750+340450+1050800</f>
        <v>11050800</v>
      </c>
      <c r="AB18" s="352"/>
      <c r="AC18" s="353">
        <f t="shared" si="15"/>
        <v>0</v>
      </c>
      <c r="AD18" s="354"/>
      <c r="AF18" s="553">
        <f>+AF17-AF16</f>
        <v>8910111</v>
      </c>
      <c r="AG18" s="322">
        <f>65+50</f>
        <v>115</v>
      </c>
    </row>
    <row r="19" spans="1:33" s="322" customFormat="1" ht="126" customHeight="1" x14ac:dyDescent="0.25">
      <c r="A19" s="338" t="s">
        <v>612</v>
      </c>
      <c r="B19" s="323">
        <v>2203003</v>
      </c>
      <c r="C19" s="324" t="s">
        <v>469</v>
      </c>
      <c r="D19" s="357" t="s">
        <v>133</v>
      </c>
      <c r="E19" s="340" t="s">
        <v>413</v>
      </c>
      <c r="F19" s="341">
        <f>'Final OAP'!K16+'Final OAP'!O16+'Final OAP'!R16-'Final OAP'!U16</f>
        <v>0</v>
      </c>
      <c r="G19" s="341">
        <f>'Final OAP'!L16+'Final OAP'!P16+'Final OAP'!S16-'Final OAP'!V16</f>
        <v>3600000</v>
      </c>
      <c r="H19" s="341">
        <f>'Final OAP'!M16+'Final OAP'!Q16+'Final OAP'!T16-'Final OAP'!W16</f>
        <v>0</v>
      </c>
      <c r="I19" s="341">
        <f t="shared" si="9"/>
        <v>3600000</v>
      </c>
      <c r="J19" s="309" t="s">
        <v>59</v>
      </c>
      <c r="K19" s="349" t="s">
        <v>1113</v>
      </c>
      <c r="L19" s="343"/>
      <c r="M19" s="344">
        <f t="shared" si="10"/>
        <v>0</v>
      </c>
      <c r="N19" s="343">
        <v>3600000</v>
      </c>
      <c r="O19" s="343">
        <f t="shared" si="11"/>
        <v>0</v>
      </c>
      <c r="P19" s="345"/>
      <c r="Q19" s="346">
        <f t="shared" si="12"/>
        <v>0</v>
      </c>
      <c r="R19" s="355">
        <v>56419</v>
      </c>
      <c r="S19" s="348">
        <v>43810</v>
      </c>
      <c r="T19" s="349" t="s">
        <v>1185</v>
      </c>
      <c r="U19" s="349" t="s">
        <v>1184</v>
      </c>
      <c r="V19" s="349"/>
      <c r="W19" s="350">
        <f t="shared" si="13"/>
        <v>0</v>
      </c>
      <c r="X19" s="343"/>
      <c r="Y19" s="351">
        <v>3600000</v>
      </c>
      <c r="Z19" s="351">
        <f t="shared" si="14"/>
        <v>0</v>
      </c>
      <c r="AA19" s="343"/>
      <c r="AB19" s="352"/>
      <c r="AC19" s="353">
        <f t="shared" si="15"/>
        <v>0</v>
      </c>
      <c r="AD19" s="354"/>
    </row>
    <row r="20" spans="1:33" s="322" customFormat="1" ht="162" customHeight="1" x14ac:dyDescent="0.25">
      <c r="A20" s="338" t="s">
        <v>612</v>
      </c>
      <c r="B20" s="480">
        <v>2203003</v>
      </c>
      <c r="C20" s="358" t="s">
        <v>469</v>
      </c>
      <c r="D20" s="358" t="s">
        <v>132</v>
      </c>
      <c r="E20" s="340" t="s">
        <v>939</v>
      </c>
      <c r="F20" s="341">
        <f>'Final OAP'!K17+'Final OAP'!O17+'Final OAP'!R17-'Final OAP'!U17</f>
        <v>0</v>
      </c>
      <c r="G20" s="341">
        <f>'Final OAP'!L17+'Final OAP'!P17+'Final OAP'!S17-'Final OAP'!V17</f>
        <v>0</v>
      </c>
      <c r="H20" s="341">
        <f>'Final OAP'!M17+'Final OAP'!Q17+'Final OAP'!T17-'Final OAP'!W17</f>
        <v>0</v>
      </c>
      <c r="I20" s="341">
        <f t="shared" si="9"/>
        <v>0</v>
      </c>
      <c r="J20" s="309"/>
      <c r="K20" s="349"/>
      <c r="L20" s="343"/>
      <c r="M20" s="344">
        <f t="shared" si="10"/>
        <v>0</v>
      </c>
      <c r="N20" s="343"/>
      <c r="O20" s="343">
        <f t="shared" si="11"/>
        <v>0</v>
      </c>
      <c r="P20" s="345"/>
      <c r="Q20" s="346">
        <f t="shared" si="12"/>
        <v>0</v>
      </c>
      <c r="R20" s="349"/>
      <c r="S20" s="348"/>
      <c r="T20" s="349"/>
      <c r="U20" s="349"/>
      <c r="V20" s="349"/>
      <c r="W20" s="350">
        <f t="shared" si="13"/>
        <v>0</v>
      </c>
      <c r="X20" s="343"/>
      <c r="Y20" s="343"/>
      <c r="Z20" s="351">
        <f t="shared" si="14"/>
        <v>0</v>
      </c>
      <c r="AA20" s="343"/>
      <c r="AB20" s="352"/>
      <c r="AC20" s="353">
        <f t="shared" si="15"/>
        <v>0</v>
      </c>
      <c r="AD20" s="354"/>
    </row>
    <row r="21" spans="1:33" s="322" customFormat="1" ht="384.75" x14ac:dyDescent="0.25">
      <c r="A21" s="338" t="s">
        <v>612</v>
      </c>
      <c r="B21" s="480">
        <v>2203003</v>
      </c>
      <c r="C21" s="358" t="s">
        <v>469</v>
      </c>
      <c r="D21" s="358" t="s">
        <v>132</v>
      </c>
      <c r="E21" s="340" t="s">
        <v>967</v>
      </c>
      <c r="F21" s="341">
        <f>'Final OAP'!K18+'Final OAP'!O18+'Final OAP'!R18-'Final OAP'!U18</f>
        <v>0</v>
      </c>
      <c r="G21" s="341">
        <f>'Final OAP'!L18+'Final OAP'!P18+'Final OAP'!S18-'Final OAP'!V18</f>
        <v>12000000</v>
      </c>
      <c r="H21" s="341">
        <f>'Final OAP'!M18+'Final OAP'!Q18+'Final OAP'!T18-'Final OAP'!W18</f>
        <v>0</v>
      </c>
      <c r="I21" s="341">
        <f t="shared" si="9"/>
        <v>12000000</v>
      </c>
      <c r="J21" s="309" t="s">
        <v>59</v>
      </c>
      <c r="K21" s="342">
        <v>29019</v>
      </c>
      <c r="L21" s="343"/>
      <c r="M21" s="344">
        <f t="shared" si="10"/>
        <v>0</v>
      </c>
      <c r="N21" s="343">
        <v>12000000</v>
      </c>
      <c r="O21" s="343">
        <f t="shared" si="11"/>
        <v>0</v>
      </c>
      <c r="P21" s="345"/>
      <c r="Q21" s="346">
        <f t="shared" si="12"/>
        <v>0</v>
      </c>
      <c r="R21" s="349">
        <v>47919</v>
      </c>
      <c r="S21" s="348">
        <v>43745</v>
      </c>
      <c r="T21" s="349" t="s">
        <v>1018</v>
      </c>
      <c r="U21" s="349" t="s">
        <v>726</v>
      </c>
      <c r="V21" s="349"/>
      <c r="W21" s="350">
        <f t="shared" si="13"/>
        <v>0</v>
      </c>
      <c r="X21" s="343"/>
      <c r="Y21" s="343">
        <v>12000000</v>
      </c>
      <c r="Z21" s="351">
        <f t="shared" si="14"/>
        <v>0</v>
      </c>
      <c r="AA21" s="343"/>
      <c r="AB21" s="352"/>
      <c r="AC21" s="353">
        <f t="shared" si="15"/>
        <v>0</v>
      </c>
      <c r="AD21" s="354"/>
    </row>
    <row r="22" spans="1:33" s="322" customFormat="1" ht="222.75" x14ac:dyDescent="0.25">
      <c r="A22" s="359" t="s">
        <v>588</v>
      </c>
      <c r="B22" s="323">
        <v>2203003</v>
      </c>
      <c r="C22" s="324" t="s">
        <v>469</v>
      </c>
      <c r="D22" s="357" t="s">
        <v>133</v>
      </c>
      <c r="E22" s="340" t="s">
        <v>410</v>
      </c>
      <c r="F22" s="341">
        <f>'Final OAP'!K19+'Final OAP'!O19+'Final OAP'!R19-'Final OAP'!U19</f>
        <v>0</v>
      </c>
      <c r="G22" s="341">
        <f>'Final OAP'!L19+'Final OAP'!P19+'Final OAP'!S19-'Final OAP'!V19</f>
        <v>31300000</v>
      </c>
      <c r="H22" s="341">
        <f>'Final OAP'!M19+'Final OAP'!Q19+'Final OAP'!T19-'Final OAP'!W19</f>
        <v>0</v>
      </c>
      <c r="I22" s="341">
        <f t="shared" si="9"/>
        <v>31300000</v>
      </c>
      <c r="J22" s="309" t="s">
        <v>59</v>
      </c>
      <c r="K22" s="342">
        <v>4019</v>
      </c>
      <c r="L22" s="343"/>
      <c r="M22" s="344">
        <f t="shared" si="10"/>
        <v>0</v>
      </c>
      <c r="N22" s="343">
        <v>31300000</v>
      </c>
      <c r="O22" s="343">
        <f t="shared" si="11"/>
        <v>0</v>
      </c>
      <c r="P22" s="345"/>
      <c r="Q22" s="346">
        <f t="shared" si="12"/>
        <v>0</v>
      </c>
      <c r="R22" s="360">
        <v>6519</v>
      </c>
      <c r="S22" s="361">
        <v>43510</v>
      </c>
      <c r="T22" s="306" t="s">
        <v>634</v>
      </c>
      <c r="U22" s="306" t="s">
        <v>635</v>
      </c>
      <c r="V22" s="349"/>
      <c r="W22" s="350">
        <f t="shared" si="13"/>
        <v>0</v>
      </c>
      <c r="X22" s="343"/>
      <c r="Y22" s="343">
        <v>31300000</v>
      </c>
      <c r="Z22" s="351">
        <f t="shared" si="14"/>
        <v>0</v>
      </c>
      <c r="AA22" s="343">
        <f>18780000+3130000+3130000+3130000+3130000</f>
        <v>31300000</v>
      </c>
      <c r="AB22" s="352"/>
      <c r="AC22" s="353">
        <f t="shared" si="15"/>
        <v>0</v>
      </c>
      <c r="AD22" s="354"/>
    </row>
    <row r="23" spans="1:33" s="365" customFormat="1" ht="222.75" x14ac:dyDescent="0.3">
      <c r="A23" s="338" t="s">
        <v>592</v>
      </c>
      <c r="B23" s="323">
        <v>2203003</v>
      </c>
      <c r="C23" s="324" t="s">
        <v>469</v>
      </c>
      <c r="D23" s="357" t="s">
        <v>133</v>
      </c>
      <c r="E23" s="340" t="s">
        <v>295</v>
      </c>
      <c r="F23" s="341">
        <f>'Final OAP'!K20+'Final OAP'!O20+'Final OAP'!R20-'Final OAP'!U20</f>
        <v>0</v>
      </c>
      <c r="G23" s="341">
        <f>'Final OAP'!L20+'Final OAP'!P20+'Final OAP'!S20-'Final OAP'!V20</f>
        <v>0</v>
      </c>
      <c r="H23" s="341">
        <f>'Final OAP'!M20+'Final OAP'!Q20+'Final OAP'!T20-'Final OAP'!W20</f>
        <v>0</v>
      </c>
      <c r="I23" s="341">
        <f t="shared" si="9"/>
        <v>0</v>
      </c>
      <c r="J23" s="309" t="s">
        <v>59</v>
      </c>
      <c r="K23" s="356"/>
      <c r="L23" s="343"/>
      <c r="M23" s="344">
        <f t="shared" si="10"/>
        <v>0</v>
      </c>
      <c r="N23" s="343"/>
      <c r="O23" s="343">
        <f t="shared" si="11"/>
        <v>0</v>
      </c>
      <c r="P23" s="345"/>
      <c r="Q23" s="346">
        <f t="shared" si="12"/>
        <v>0</v>
      </c>
      <c r="R23" s="349"/>
      <c r="S23" s="348"/>
      <c r="T23" s="349"/>
      <c r="U23" s="349"/>
      <c r="V23" s="349"/>
      <c r="W23" s="350">
        <f t="shared" si="13"/>
        <v>0</v>
      </c>
      <c r="X23" s="343"/>
      <c r="Y23" s="343"/>
      <c r="Z23" s="351">
        <f t="shared" si="14"/>
        <v>0</v>
      </c>
      <c r="AA23" s="343"/>
      <c r="AB23" s="352"/>
      <c r="AC23" s="353">
        <f t="shared" si="15"/>
        <v>0</v>
      </c>
      <c r="AD23" s="354"/>
    </row>
    <row r="24" spans="1:33" ht="222.75" x14ac:dyDescent="0.3">
      <c r="A24" s="338" t="s">
        <v>592</v>
      </c>
      <c r="B24" s="323">
        <v>2203003</v>
      </c>
      <c r="C24" s="324" t="s">
        <v>469</v>
      </c>
      <c r="D24" s="357" t="s">
        <v>133</v>
      </c>
      <c r="E24" s="340" t="s">
        <v>416</v>
      </c>
      <c r="F24" s="341">
        <f>'Final OAP'!K21+'Final OAP'!O21+'Final OAP'!R21-'Final OAP'!U21</f>
        <v>0</v>
      </c>
      <c r="G24" s="341">
        <f>'Final OAP'!L21+'Final OAP'!P21+'Final OAP'!S21-'Final OAP'!V21</f>
        <v>0</v>
      </c>
      <c r="H24" s="341">
        <f>'Final OAP'!M21+'Final OAP'!Q21+'Final OAP'!T21-'Final OAP'!W21</f>
        <v>0</v>
      </c>
      <c r="I24" s="341">
        <f t="shared" si="9"/>
        <v>0</v>
      </c>
      <c r="J24" s="309" t="s">
        <v>59</v>
      </c>
      <c r="K24" s="349"/>
      <c r="L24" s="343"/>
      <c r="M24" s="344">
        <f t="shared" si="10"/>
        <v>0</v>
      </c>
      <c r="N24" s="343"/>
      <c r="O24" s="343">
        <f t="shared" si="11"/>
        <v>0</v>
      </c>
      <c r="P24" s="345"/>
      <c r="Q24" s="346">
        <f t="shared" si="12"/>
        <v>0</v>
      </c>
      <c r="R24" s="349"/>
      <c r="S24" s="348"/>
      <c r="T24" s="349"/>
      <c r="U24" s="349"/>
      <c r="V24" s="349"/>
      <c r="W24" s="350">
        <f t="shared" si="13"/>
        <v>0</v>
      </c>
      <c r="X24" s="343"/>
      <c r="Y24" s="343"/>
      <c r="Z24" s="351">
        <f t="shared" si="14"/>
        <v>0</v>
      </c>
      <c r="AA24" s="343"/>
      <c r="AB24" s="352"/>
      <c r="AC24" s="353">
        <f t="shared" si="15"/>
        <v>0</v>
      </c>
      <c r="AD24" s="354"/>
    </row>
    <row r="25" spans="1:33" ht="222.75" x14ac:dyDescent="0.3">
      <c r="A25" s="362" t="s">
        <v>613</v>
      </c>
      <c r="B25" s="323">
        <v>2203003</v>
      </c>
      <c r="C25" s="324" t="s">
        <v>469</v>
      </c>
      <c r="D25" s="357" t="s">
        <v>133</v>
      </c>
      <c r="E25" s="340" t="s">
        <v>386</v>
      </c>
      <c r="F25" s="341">
        <f>'Final OAP'!K22+'Final OAP'!O22+'Final OAP'!R22-'Final OAP'!U22</f>
        <v>0</v>
      </c>
      <c r="G25" s="341">
        <f>'Final OAP'!L22+'Final OAP'!P22+'Final OAP'!S22-'Final OAP'!V22</f>
        <v>0</v>
      </c>
      <c r="H25" s="341">
        <f>'Final OAP'!M22+'Final OAP'!Q22+'Final OAP'!T22-'Final OAP'!W22</f>
        <v>0</v>
      </c>
      <c r="I25" s="341">
        <f t="shared" si="9"/>
        <v>0</v>
      </c>
      <c r="J25" s="309" t="s">
        <v>59</v>
      </c>
      <c r="K25" s="349"/>
      <c r="L25" s="343"/>
      <c r="M25" s="344">
        <f t="shared" si="10"/>
        <v>0</v>
      </c>
      <c r="N25" s="343"/>
      <c r="O25" s="343">
        <f t="shared" si="11"/>
        <v>0</v>
      </c>
      <c r="P25" s="345"/>
      <c r="Q25" s="346">
        <f t="shared" si="12"/>
        <v>0</v>
      </c>
      <c r="R25" s="349"/>
      <c r="S25" s="348"/>
      <c r="T25" s="349"/>
      <c r="U25" s="349"/>
      <c r="V25" s="349"/>
      <c r="W25" s="350">
        <f t="shared" si="13"/>
        <v>0</v>
      </c>
      <c r="X25" s="343"/>
      <c r="Y25" s="343"/>
      <c r="Z25" s="351">
        <f t="shared" si="14"/>
        <v>0</v>
      </c>
      <c r="AA25" s="343"/>
      <c r="AB25" s="352"/>
      <c r="AC25" s="353">
        <f t="shared" si="15"/>
        <v>0</v>
      </c>
      <c r="AD25" s="354"/>
    </row>
    <row r="26" spans="1:33" s="322" customFormat="1" ht="141.75" x14ac:dyDescent="0.25">
      <c r="A26" s="338" t="s">
        <v>592</v>
      </c>
      <c r="B26" s="323">
        <v>2203003</v>
      </c>
      <c r="C26" s="324" t="s">
        <v>469</v>
      </c>
      <c r="D26" s="363" t="s">
        <v>132</v>
      </c>
      <c r="E26" s="340" t="s">
        <v>295</v>
      </c>
      <c r="F26" s="341">
        <f>'Final OAP'!K23+'Final OAP'!O23+'Final OAP'!R23-'Final OAP'!U23</f>
        <v>0</v>
      </c>
      <c r="G26" s="341">
        <f>'Final OAP'!L23+'Final OAP'!P23+'Final OAP'!S23-'Final OAP'!V23</f>
        <v>60000</v>
      </c>
      <c r="H26" s="341">
        <f>'Final OAP'!M23+'Final OAP'!Q23+'Final OAP'!T23-'Final OAP'!W23</f>
        <v>0</v>
      </c>
      <c r="I26" s="341">
        <f t="shared" si="9"/>
        <v>60000</v>
      </c>
      <c r="J26" s="309" t="s">
        <v>59</v>
      </c>
      <c r="K26" s="356" t="s">
        <v>741</v>
      </c>
      <c r="L26" s="343"/>
      <c r="M26" s="344">
        <f t="shared" si="10"/>
        <v>0</v>
      </c>
      <c r="N26" s="343">
        <f>60000</f>
        <v>60000</v>
      </c>
      <c r="O26" s="343">
        <f t="shared" si="11"/>
        <v>0</v>
      </c>
      <c r="P26" s="345"/>
      <c r="Q26" s="346">
        <f t="shared" si="12"/>
        <v>0</v>
      </c>
      <c r="R26" s="471" t="s">
        <v>918</v>
      </c>
      <c r="S26" s="471" t="s">
        <v>919</v>
      </c>
      <c r="T26" s="471" t="s">
        <v>921</v>
      </c>
      <c r="U26" s="471" t="s">
        <v>693</v>
      </c>
      <c r="V26" s="349"/>
      <c r="W26" s="350">
        <f t="shared" si="13"/>
        <v>0</v>
      </c>
      <c r="X26" s="343"/>
      <c r="Y26" s="343">
        <f>60000</f>
        <v>60000</v>
      </c>
      <c r="Z26" s="556">
        <f t="shared" si="14"/>
        <v>0</v>
      </c>
      <c r="AA26" s="343">
        <v>60000</v>
      </c>
      <c r="AB26" s="352"/>
      <c r="AC26" s="353">
        <f t="shared" si="15"/>
        <v>0</v>
      </c>
      <c r="AD26" s="354"/>
    </row>
    <row r="27" spans="1:33" s="322" customFormat="1" ht="141.75" x14ac:dyDescent="0.25">
      <c r="A27" s="338" t="s">
        <v>592</v>
      </c>
      <c r="B27" s="323">
        <v>2203003</v>
      </c>
      <c r="C27" s="324" t="s">
        <v>469</v>
      </c>
      <c r="D27" s="363" t="s">
        <v>132</v>
      </c>
      <c r="E27" s="340" t="s">
        <v>416</v>
      </c>
      <c r="F27" s="341">
        <f>'Final OAP'!K24+'Final OAP'!O24+'Final OAP'!R24-'Final OAP'!U24</f>
        <v>0</v>
      </c>
      <c r="G27" s="341">
        <f>'Final OAP'!L24+'Final OAP'!P24+'Final OAP'!S24-'Final OAP'!V24</f>
        <v>0</v>
      </c>
      <c r="H27" s="341">
        <f>'Final OAP'!M24+'Final OAP'!Q24+'Final OAP'!T24-'Final OAP'!W24</f>
        <v>0</v>
      </c>
      <c r="I27" s="341">
        <f t="shared" si="9"/>
        <v>0</v>
      </c>
      <c r="J27" s="309" t="s">
        <v>59</v>
      </c>
      <c r="K27" s="349"/>
      <c r="L27" s="343"/>
      <c r="M27" s="344">
        <f t="shared" si="10"/>
        <v>0</v>
      </c>
      <c r="N27" s="343"/>
      <c r="O27" s="343">
        <f t="shared" si="11"/>
        <v>0</v>
      </c>
      <c r="P27" s="345"/>
      <c r="Q27" s="346">
        <f t="shared" si="12"/>
        <v>0</v>
      </c>
      <c r="R27" s="349"/>
      <c r="S27" s="348"/>
      <c r="T27" s="349"/>
      <c r="U27" s="349"/>
      <c r="V27" s="349"/>
      <c r="W27" s="350">
        <f t="shared" si="13"/>
        <v>0</v>
      </c>
      <c r="X27" s="343"/>
      <c r="Y27" s="343"/>
      <c r="Z27" s="549">
        <f t="shared" si="14"/>
        <v>0</v>
      </c>
      <c r="AA27" s="343"/>
      <c r="AB27" s="352"/>
      <c r="AC27" s="353">
        <f t="shared" si="15"/>
        <v>0</v>
      </c>
      <c r="AD27" s="354"/>
    </row>
    <row r="28" spans="1:33" s="322" customFormat="1" ht="141.75" x14ac:dyDescent="0.25">
      <c r="A28" s="362" t="s">
        <v>613</v>
      </c>
      <c r="B28" s="323">
        <v>2203003</v>
      </c>
      <c r="C28" s="324" t="s">
        <v>469</v>
      </c>
      <c r="D28" s="363" t="s">
        <v>132</v>
      </c>
      <c r="E28" s="340" t="s">
        <v>386</v>
      </c>
      <c r="F28" s="341">
        <f>'Final OAP'!K25+'Final OAP'!O25+'Final OAP'!R25-'Final OAP'!U25</f>
        <v>0</v>
      </c>
      <c r="G28" s="341">
        <f>'Final OAP'!L25+'Final OAP'!P25+'Final OAP'!S25-'Final OAP'!V25</f>
        <v>1204555</v>
      </c>
      <c r="H28" s="341">
        <f>'Final OAP'!M25+'Final OAP'!Q25+'Final OAP'!T25-'Final OAP'!W25</f>
        <v>0</v>
      </c>
      <c r="I28" s="341">
        <f t="shared" si="9"/>
        <v>1204555</v>
      </c>
      <c r="J28" s="309" t="s">
        <v>59</v>
      </c>
      <c r="K28" s="356">
        <v>9019</v>
      </c>
      <c r="L28" s="366"/>
      <c r="M28" s="344">
        <f t="shared" si="10"/>
        <v>0</v>
      </c>
      <c r="N28" s="343">
        <v>1204555</v>
      </c>
      <c r="O28" s="343">
        <f t="shared" si="11"/>
        <v>0</v>
      </c>
      <c r="P28" s="345"/>
      <c r="Q28" s="346">
        <f t="shared" si="12"/>
        <v>0</v>
      </c>
      <c r="R28" s="471" t="s">
        <v>918</v>
      </c>
      <c r="S28" s="471" t="s">
        <v>919</v>
      </c>
      <c r="T28" s="471" t="s">
        <v>921</v>
      </c>
      <c r="U28" s="471" t="s">
        <v>920</v>
      </c>
      <c r="V28" s="349"/>
      <c r="W28" s="350">
        <f t="shared" si="13"/>
        <v>0</v>
      </c>
      <c r="X28" s="366"/>
      <c r="Y28" s="343">
        <v>1204555</v>
      </c>
      <c r="Z28" s="556">
        <f t="shared" si="14"/>
        <v>0</v>
      </c>
      <c r="AA28" s="343">
        <v>1204555</v>
      </c>
      <c r="AB28" s="352"/>
      <c r="AC28" s="353">
        <f t="shared" si="15"/>
        <v>0</v>
      </c>
      <c r="AD28" s="354"/>
    </row>
    <row r="29" spans="1:33" s="322" customFormat="1" ht="141.75" x14ac:dyDescent="0.25">
      <c r="A29" s="338" t="s">
        <v>612</v>
      </c>
      <c r="B29" s="323">
        <v>2203003</v>
      </c>
      <c r="C29" s="324" t="s">
        <v>469</v>
      </c>
      <c r="D29" s="367" t="s">
        <v>86</v>
      </c>
      <c r="E29" s="306" t="s">
        <v>415</v>
      </c>
      <c r="F29" s="341">
        <f>'Final OAP'!K26+'Final OAP'!O26+'Final OAP'!R26-'Final OAP'!U26</f>
        <v>0</v>
      </c>
      <c r="G29" s="341">
        <f>'Final OAP'!L26+'Final OAP'!P26+'Final OAP'!S26-'Final OAP'!V26</f>
        <v>24119672</v>
      </c>
      <c r="H29" s="341">
        <f>'Final OAP'!M26+'Final OAP'!Q26+'Final OAP'!T26-'Final OAP'!W26</f>
        <v>0</v>
      </c>
      <c r="I29" s="341">
        <f t="shared" si="9"/>
        <v>24119672</v>
      </c>
      <c r="J29" s="309" t="s">
        <v>59</v>
      </c>
      <c r="K29" s="349" t="s">
        <v>1113</v>
      </c>
      <c r="L29" s="368"/>
      <c r="M29" s="344">
        <f t="shared" si="10"/>
        <v>0</v>
      </c>
      <c r="N29" s="343">
        <f>17119672+7000000</f>
        <v>24119672</v>
      </c>
      <c r="O29" s="343">
        <f t="shared" si="11"/>
        <v>0</v>
      </c>
      <c r="P29" s="345"/>
      <c r="Q29" s="346">
        <f t="shared" si="12"/>
        <v>0</v>
      </c>
      <c r="R29" s="355">
        <v>56419</v>
      </c>
      <c r="S29" s="361">
        <v>43810</v>
      </c>
      <c r="T29" s="349" t="s">
        <v>1185</v>
      </c>
      <c r="U29" s="356" t="s">
        <v>1184</v>
      </c>
      <c r="V29" s="369"/>
      <c r="W29" s="350">
        <f t="shared" si="13"/>
        <v>0</v>
      </c>
      <c r="X29" s="368"/>
      <c r="Y29" s="368">
        <v>24119672</v>
      </c>
      <c r="Z29" s="351">
        <f t="shared" si="14"/>
        <v>0</v>
      </c>
      <c r="AA29" s="368"/>
      <c r="AB29" s="369"/>
      <c r="AC29" s="353">
        <f t="shared" si="15"/>
        <v>0</v>
      </c>
      <c r="AD29" s="354"/>
    </row>
    <row r="30" spans="1:33" s="322" customFormat="1" ht="141.75" x14ac:dyDescent="0.25">
      <c r="A30" s="338" t="s">
        <v>587</v>
      </c>
      <c r="B30" s="323">
        <v>2203003</v>
      </c>
      <c r="C30" s="324" t="s">
        <v>469</v>
      </c>
      <c r="D30" s="367" t="s">
        <v>86</v>
      </c>
      <c r="E30" s="370" t="s">
        <v>512</v>
      </c>
      <c r="F30" s="341">
        <f>'Final OAP'!K27+'Final OAP'!O27+'Final OAP'!R27-'Final OAP'!U27</f>
        <v>36187250</v>
      </c>
      <c r="G30" s="341">
        <f>'Final OAP'!L27+'Final OAP'!P27+'Final OAP'!S27-'Final OAP'!V27</f>
        <v>0</v>
      </c>
      <c r="H30" s="341">
        <f>'Final OAP'!M27+'Final OAP'!Q27+'Final OAP'!T27-'Final OAP'!W27</f>
        <v>0</v>
      </c>
      <c r="I30" s="341">
        <f t="shared" si="9"/>
        <v>36187250</v>
      </c>
      <c r="J30" s="309" t="s">
        <v>59</v>
      </c>
      <c r="K30" s="356" t="s">
        <v>521</v>
      </c>
      <c r="L30" s="368">
        <v>36187250</v>
      </c>
      <c r="M30" s="344">
        <f t="shared" si="10"/>
        <v>0</v>
      </c>
      <c r="N30" s="368"/>
      <c r="O30" s="343">
        <f t="shared" si="11"/>
        <v>0</v>
      </c>
      <c r="P30" s="345"/>
      <c r="Q30" s="346">
        <f t="shared" si="12"/>
        <v>0</v>
      </c>
      <c r="R30" s="356" t="s">
        <v>566</v>
      </c>
      <c r="S30" s="361">
        <v>43488</v>
      </c>
      <c r="T30" s="356" t="s">
        <v>568</v>
      </c>
      <c r="U30" s="356" t="s">
        <v>567</v>
      </c>
      <c r="V30" s="368">
        <v>36187250</v>
      </c>
      <c r="W30" s="350">
        <f t="shared" si="13"/>
        <v>0</v>
      </c>
      <c r="X30" s="368">
        <f>13159000+3289750+3289750+3289750+3289750+3289750+3289750+3289750</f>
        <v>36187250</v>
      </c>
      <c r="Y30" s="368"/>
      <c r="Z30" s="351">
        <f t="shared" si="14"/>
        <v>0</v>
      </c>
      <c r="AA30" s="368"/>
      <c r="AB30" s="352"/>
      <c r="AC30" s="353">
        <f t="shared" si="15"/>
        <v>0</v>
      </c>
      <c r="AD30" s="354"/>
    </row>
    <row r="31" spans="1:33" ht="141.75" x14ac:dyDescent="0.3">
      <c r="A31" s="338" t="s">
        <v>587</v>
      </c>
      <c r="B31" s="323">
        <v>2203003</v>
      </c>
      <c r="C31" s="324" t="s">
        <v>469</v>
      </c>
      <c r="D31" s="367" t="s">
        <v>86</v>
      </c>
      <c r="E31" s="370" t="s">
        <v>513</v>
      </c>
      <c r="F31" s="341">
        <f>'Final OAP'!K28+'Final OAP'!O28+'Final OAP'!R28-'Final OAP'!U28</f>
        <v>36187250</v>
      </c>
      <c r="G31" s="341">
        <f>'Final OAP'!L28+'Final OAP'!P28+'Final OAP'!S28-'Final OAP'!V28</f>
        <v>0</v>
      </c>
      <c r="H31" s="341">
        <f>'Final OAP'!M28+'Final OAP'!Q28+'Final OAP'!T28-'Final OAP'!W28</f>
        <v>0</v>
      </c>
      <c r="I31" s="341">
        <f t="shared" si="9"/>
        <v>36187250</v>
      </c>
      <c r="J31" s="309" t="s">
        <v>59</v>
      </c>
      <c r="K31" s="356" t="s">
        <v>520</v>
      </c>
      <c r="L31" s="368">
        <v>36187250</v>
      </c>
      <c r="M31" s="344">
        <f t="shared" si="10"/>
        <v>0</v>
      </c>
      <c r="N31" s="368"/>
      <c r="O31" s="343">
        <f t="shared" si="11"/>
        <v>0</v>
      </c>
      <c r="P31" s="345"/>
      <c r="Q31" s="346">
        <f t="shared" si="12"/>
        <v>0</v>
      </c>
      <c r="R31" s="356" t="s">
        <v>569</v>
      </c>
      <c r="S31" s="361">
        <v>43488</v>
      </c>
      <c r="T31" s="356" t="s">
        <v>571</v>
      </c>
      <c r="U31" s="356" t="s">
        <v>570</v>
      </c>
      <c r="V31" s="368">
        <v>36187250</v>
      </c>
      <c r="W31" s="350">
        <f t="shared" si="13"/>
        <v>0</v>
      </c>
      <c r="X31" s="368">
        <f>13159000+3289750+3289750+3289750+3289750+3289750+3289750+3289750</f>
        <v>36187250</v>
      </c>
      <c r="Y31" s="368"/>
      <c r="Z31" s="351">
        <f t="shared" si="14"/>
        <v>0</v>
      </c>
      <c r="AA31" s="368"/>
      <c r="AB31" s="369"/>
      <c r="AC31" s="353">
        <f t="shared" si="15"/>
        <v>0</v>
      </c>
      <c r="AD31" s="354"/>
    </row>
    <row r="32" spans="1:33" ht="141.75" x14ac:dyDescent="0.3">
      <c r="A32" s="338" t="s">
        <v>587</v>
      </c>
      <c r="B32" s="323">
        <v>2203003</v>
      </c>
      <c r="C32" s="324" t="s">
        <v>469</v>
      </c>
      <c r="D32" s="367" t="s">
        <v>86</v>
      </c>
      <c r="E32" s="370" t="s">
        <v>511</v>
      </c>
      <c r="F32" s="341">
        <f>'Final OAP'!K30+'Final OAP'!O30+'Final OAP'!R30-'Final OAP'!U30</f>
        <v>41953868</v>
      </c>
      <c r="G32" s="341">
        <f>'Final OAP'!L30+'Final OAP'!P30+'Final OAP'!S30-'Final OAP'!V30</f>
        <v>0</v>
      </c>
      <c r="H32" s="341">
        <f>'Final OAP'!M30+'Final OAP'!Q30+'Final OAP'!T30-'Final OAP'!W30</f>
        <v>0</v>
      </c>
      <c r="I32" s="341">
        <f t="shared" si="9"/>
        <v>41953868</v>
      </c>
      <c r="J32" s="309" t="s">
        <v>59</v>
      </c>
      <c r="K32" s="356" t="s">
        <v>519</v>
      </c>
      <c r="L32" s="368">
        <v>41953868</v>
      </c>
      <c r="M32" s="344">
        <f t="shared" si="10"/>
        <v>0</v>
      </c>
      <c r="N32" s="368"/>
      <c r="O32" s="343">
        <f t="shared" si="11"/>
        <v>0</v>
      </c>
      <c r="P32" s="345"/>
      <c r="Q32" s="346">
        <f t="shared" si="12"/>
        <v>0</v>
      </c>
      <c r="R32" s="356" t="s">
        <v>564</v>
      </c>
      <c r="S32" s="361">
        <v>43488</v>
      </c>
      <c r="T32" s="356" t="s">
        <v>565</v>
      </c>
      <c r="U32" s="356" t="s">
        <v>970</v>
      </c>
      <c r="V32" s="368">
        <v>41953868</v>
      </c>
      <c r="W32" s="350">
        <f t="shared" si="13"/>
        <v>0</v>
      </c>
      <c r="X32" s="368">
        <f>15255952+3813988+1144196+2669792+3813988+3813988+3813988+3813988+3813988</f>
        <v>41953868</v>
      </c>
      <c r="Y32" s="368"/>
      <c r="Z32" s="351">
        <f t="shared" si="14"/>
        <v>0</v>
      </c>
      <c r="AA32" s="368"/>
      <c r="AB32" s="369"/>
      <c r="AC32" s="353">
        <f t="shared" si="15"/>
        <v>0</v>
      </c>
      <c r="AD32" s="354"/>
    </row>
    <row r="33" spans="1:30" s="365" customFormat="1" ht="141.75" x14ac:dyDescent="0.3">
      <c r="A33" s="338" t="s">
        <v>587</v>
      </c>
      <c r="B33" s="323">
        <v>2203003</v>
      </c>
      <c r="C33" s="324" t="s">
        <v>469</v>
      </c>
      <c r="D33" s="367" t="s">
        <v>86</v>
      </c>
      <c r="E33" s="370" t="s">
        <v>509</v>
      </c>
      <c r="F33" s="341">
        <f>'Final OAP'!K31+'Final OAP'!O31+'Final OAP'!R31-'Final OAP'!U31</f>
        <v>34100000</v>
      </c>
      <c r="G33" s="341">
        <f>'Final OAP'!L31+'Final OAP'!P31+'Final OAP'!S31-'Final OAP'!V31</f>
        <v>0</v>
      </c>
      <c r="H33" s="341">
        <f>'Final OAP'!M31+'Final OAP'!Q31+'Final OAP'!T31-'Final OAP'!W31</f>
        <v>0</v>
      </c>
      <c r="I33" s="341">
        <f t="shared" si="9"/>
        <v>34100000</v>
      </c>
      <c r="J33" s="374" t="s">
        <v>59</v>
      </c>
      <c r="K33" s="356" t="s">
        <v>560</v>
      </c>
      <c r="L33" s="368">
        <v>34100000</v>
      </c>
      <c r="M33" s="344">
        <f t="shared" si="10"/>
        <v>0</v>
      </c>
      <c r="N33" s="368"/>
      <c r="O33" s="343">
        <f t="shared" si="11"/>
        <v>0</v>
      </c>
      <c r="P33" s="345"/>
      <c r="Q33" s="346">
        <f t="shared" si="12"/>
        <v>0</v>
      </c>
      <c r="R33" s="356" t="s">
        <v>561</v>
      </c>
      <c r="S33" s="361">
        <v>43497</v>
      </c>
      <c r="T33" s="356" t="s">
        <v>562</v>
      </c>
      <c r="U33" s="356" t="s">
        <v>563</v>
      </c>
      <c r="V33" s="368">
        <v>34100000</v>
      </c>
      <c r="W33" s="350">
        <f t="shared" si="13"/>
        <v>0</v>
      </c>
      <c r="X33" s="368">
        <f>9300000+3100000+3100000+3100000+3100000+3100000+3100000+3100000+3100000</f>
        <v>34100000</v>
      </c>
      <c r="Y33" s="368"/>
      <c r="Z33" s="351">
        <f t="shared" si="14"/>
        <v>0</v>
      </c>
      <c r="AA33" s="368"/>
      <c r="AB33" s="369"/>
      <c r="AC33" s="353">
        <f t="shared" si="15"/>
        <v>0</v>
      </c>
      <c r="AD33" s="354"/>
    </row>
    <row r="34" spans="1:30" ht="121.5" customHeight="1" x14ac:dyDescent="0.3">
      <c r="A34" s="338" t="s">
        <v>591</v>
      </c>
      <c r="B34" s="323">
        <v>2203018</v>
      </c>
      <c r="C34" s="324" t="s">
        <v>470</v>
      </c>
      <c r="D34" s="371" t="s">
        <v>131</v>
      </c>
      <c r="E34" s="482" t="s">
        <v>291</v>
      </c>
      <c r="F34" s="341">
        <f>'Final OAP'!K32+'Final OAP'!O32+'Final OAP'!R32-'Final OAP'!U32</f>
        <v>4000000</v>
      </c>
      <c r="G34" s="341">
        <f>'Final OAP'!L32+'Final OAP'!P32+'Final OAP'!S32-'Final OAP'!V32</f>
        <v>0</v>
      </c>
      <c r="H34" s="341">
        <f>'Final OAP'!M32+'Final OAP'!Q32+'Final OAP'!T32-'Final OAP'!W32</f>
        <v>4000000</v>
      </c>
      <c r="I34" s="341">
        <f t="shared" si="9"/>
        <v>8000000</v>
      </c>
      <c r="J34" s="309" t="s">
        <v>59</v>
      </c>
      <c r="K34" s="360">
        <v>4619</v>
      </c>
      <c r="L34" s="368">
        <v>4000000</v>
      </c>
      <c r="M34" s="344">
        <f t="shared" si="10"/>
        <v>0</v>
      </c>
      <c r="N34" s="372"/>
      <c r="O34" s="343">
        <f t="shared" si="11"/>
        <v>0</v>
      </c>
      <c r="P34" s="343">
        <v>4000000</v>
      </c>
      <c r="Q34" s="346">
        <f t="shared" si="12"/>
        <v>0</v>
      </c>
      <c r="R34" s="360">
        <v>10219</v>
      </c>
      <c r="S34" s="361">
        <v>43536</v>
      </c>
      <c r="T34" s="360" t="s">
        <v>723</v>
      </c>
      <c r="U34" s="360" t="s">
        <v>722</v>
      </c>
      <c r="V34" s="369">
        <v>4000000</v>
      </c>
      <c r="W34" s="350">
        <f t="shared" si="13"/>
        <v>0</v>
      </c>
      <c r="X34" s="554">
        <f>1702650+223300+178050+1208150+239950+447900</f>
        <v>4000000</v>
      </c>
      <c r="Y34" s="368"/>
      <c r="Z34" s="351">
        <f t="shared" si="14"/>
        <v>0</v>
      </c>
      <c r="AA34" s="368"/>
      <c r="AB34" s="368">
        <v>4000000</v>
      </c>
      <c r="AC34" s="353">
        <f t="shared" si="15"/>
        <v>0</v>
      </c>
      <c r="AD34" s="368">
        <f>245400+1567150+286600</f>
        <v>2099150</v>
      </c>
    </row>
    <row r="35" spans="1:30" ht="81" customHeight="1" x14ac:dyDescent="0.3">
      <c r="A35" s="338" t="s">
        <v>614</v>
      </c>
      <c r="B35" s="323">
        <v>2203018</v>
      </c>
      <c r="C35" s="324" t="s">
        <v>470</v>
      </c>
      <c r="D35" s="308" t="s">
        <v>294</v>
      </c>
      <c r="E35" s="373" t="s">
        <v>65</v>
      </c>
      <c r="F35" s="341">
        <f>'Final OAP'!K33+'Final OAP'!O33+'Final OAP'!R33-'Final OAP'!U33</f>
        <v>0</v>
      </c>
      <c r="G35" s="341">
        <f>'Final OAP'!L33+'Final OAP'!P33+'Final OAP'!S33-'Final OAP'!V33</f>
        <v>0</v>
      </c>
      <c r="H35" s="341">
        <f>'Final OAP'!M33+'Final OAP'!Q33+'Final OAP'!T33-'Final OAP'!W33</f>
        <v>0</v>
      </c>
      <c r="I35" s="341">
        <f t="shared" si="9"/>
        <v>0</v>
      </c>
      <c r="J35" s="309" t="s">
        <v>59</v>
      </c>
      <c r="K35" s="360"/>
      <c r="L35" s="368"/>
      <c r="M35" s="344">
        <f t="shared" si="10"/>
        <v>0</v>
      </c>
      <c r="N35" s="346"/>
      <c r="O35" s="343">
        <f t="shared" si="11"/>
        <v>0</v>
      </c>
      <c r="P35" s="345"/>
      <c r="Q35" s="346">
        <f t="shared" si="12"/>
        <v>0</v>
      </c>
      <c r="R35" s="360"/>
      <c r="S35" s="361"/>
      <c r="T35" s="306"/>
      <c r="U35" s="306"/>
      <c r="V35" s="369"/>
      <c r="W35" s="350">
        <f t="shared" si="13"/>
        <v>0</v>
      </c>
      <c r="X35" s="368"/>
      <c r="Y35" s="368"/>
      <c r="Z35" s="351">
        <f t="shared" si="14"/>
        <v>0</v>
      </c>
      <c r="AA35" s="368"/>
      <c r="AB35" s="369"/>
      <c r="AC35" s="353">
        <f t="shared" si="15"/>
        <v>0</v>
      </c>
      <c r="AD35" s="354"/>
    </row>
    <row r="36" spans="1:30" ht="81" customHeight="1" x14ac:dyDescent="0.3">
      <c r="A36" s="338" t="s">
        <v>587</v>
      </c>
      <c r="B36" s="323">
        <v>2203018</v>
      </c>
      <c r="C36" s="324" t="s">
        <v>470</v>
      </c>
      <c r="D36" s="308" t="s">
        <v>294</v>
      </c>
      <c r="E36" s="306" t="s">
        <v>144</v>
      </c>
      <c r="F36" s="341">
        <f>'Final OAP'!K34+'Final OAP'!O34+'Final OAP'!R34-'Final OAP'!U34</f>
        <v>0</v>
      </c>
      <c r="G36" s="341">
        <f>'Final OAP'!L34+'Final OAP'!P34+'Final OAP'!S34-'Final OAP'!V34</f>
        <v>30240000</v>
      </c>
      <c r="H36" s="341">
        <f>'Final OAP'!M34+'Final OAP'!Q34+'Final OAP'!T34-'Final OAP'!W34</f>
        <v>0</v>
      </c>
      <c r="I36" s="341">
        <f t="shared" si="9"/>
        <v>30240000</v>
      </c>
      <c r="J36" s="309" t="s">
        <v>59</v>
      </c>
      <c r="K36" s="356" t="s">
        <v>632</v>
      </c>
      <c r="L36" s="368"/>
      <c r="M36" s="344">
        <f t="shared" si="10"/>
        <v>0</v>
      </c>
      <c r="N36" s="375">
        <v>30240000</v>
      </c>
      <c r="O36" s="343">
        <f t="shared" si="11"/>
        <v>0</v>
      </c>
      <c r="P36" s="345"/>
      <c r="Q36" s="346">
        <f t="shared" si="12"/>
        <v>0</v>
      </c>
      <c r="R36" s="356" t="s">
        <v>631</v>
      </c>
      <c r="S36" s="361">
        <v>43510</v>
      </c>
      <c r="T36" s="356" t="s">
        <v>630</v>
      </c>
      <c r="U36" s="306" t="s">
        <v>633</v>
      </c>
      <c r="V36" s="369"/>
      <c r="W36" s="350">
        <f t="shared" si="13"/>
        <v>0</v>
      </c>
      <c r="X36" s="368"/>
      <c r="Y36" s="368">
        <v>30240000</v>
      </c>
      <c r="Z36" s="351">
        <f t="shared" si="14"/>
        <v>0</v>
      </c>
      <c r="AA36" s="368">
        <f>17010000+2835000+2835000+2835000+2835000</f>
        <v>28350000</v>
      </c>
      <c r="AB36" s="369"/>
      <c r="AC36" s="353">
        <f t="shared" si="15"/>
        <v>0</v>
      </c>
      <c r="AD36" s="354"/>
    </row>
    <row r="37" spans="1:30" ht="101.25" customHeight="1" x14ac:dyDescent="0.3">
      <c r="A37" s="338" t="s">
        <v>592</v>
      </c>
      <c r="B37" s="323">
        <v>2203018</v>
      </c>
      <c r="C37" s="324" t="s">
        <v>470</v>
      </c>
      <c r="D37" s="308" t="s">
        <v>294</v>
      </c>
      <c r="E37" s="373" t="s">
        <v>878</v>
      </c>
      <c r="F37" s="341">
        <f>'Final OAP'!K35+'Final OAP'!O35+'Final OAP'!R35-'Final OAP'!U35</f>
        <v>0</v>
      </c>
      <c r="G37" s="341">
        <f>'Final OAP'!L35+'Final OAP'!P35+'Final OAP'!S35-'Final OAP'!V35</f>
        <v>4200000</v>
      </c>
      <c r="H37" s="341">
        <f>'Final OAP'!M35+'Final OAP'!Q35+'Final OAP'!T35-'Final OAP'!W35</f>
        <v>0</v>
      </c>
      <c r="I37" s="341">
        <f t="shared" si="9"/>
        <v>4200000</v>
      </c>
      <c r="J37" s="309" t="s">
        <v>59</v>
      </c>
      <c r="K37" s="360">
        <v>17819</v>
      </c>
      <c r="L37" s="368"/>
      <c r="M37" s="344">
        <f t="shared" si="10"/>
        <v>0</v>
      </c>
      <c r="N37" s="346">
        <v>4200000</v>
      </c>
      <c r="O37" s="343">
        <f t="shared" si="11"/>
        <v>0</v>
      </c>
      <c r="P37" s="345"/>
      <c r="Q37" s="346">
        <f t="shared" si="12"/>
        <v>0</v>
      </c>
      <c r="R37" s="355">
        <v>39119</v>
      </c>
      <c r="S37" s="348">
        <v>43710</v>
      </c>
      <c r="T37" s="349" t="s">
        <v>968</v>
      </c>
      <c r="U37" s="349" t="s">
        <v>969</v>
      </c>
      <c r="V37" s="369"/>
      <c r="W37" s="350">
        <f t="shared" si="13"/>
        <v>0</v>
      </c>
      <c r="X37" s="368"/>
      <c r="Y37" s="346">
        <v>4200000</v>
      </c>
      <c r="Z37" s="549">
        <f t="shared" si="14"/>
        <v>0</v>
      </c>
      <c r="AA37" s="368"/>
      <c r="AB37" s="369"/>
      <c r="AC37" s="353">
        <f t="shared" si="15"/>
        <v>0</v>
      </c>
      <c r="AD37" s="354"/>
    </row>
    <row r="38" spans="1:30" ht="161.25" customHeight="1" x14ac:dyDescent="0.3">
      <c r="A38" s="338" t="s">
        <v>592</v>
      </c>
      <c r="B38" s="323">
        <v>2203018</v>
      </c>
      <c r="C38" s="324" t="s">
        <v>470</v>
      </c>
      <c r="D38" s="308" t="s">
        <v>294</v>
      </c>
      <c r="E38" s="373" t="s">
        <v>384</v>
      </c>
      <c r="F38" s="341">
        <f>'Final OAP'!K36+'Final OAP'!O36+'Final OAP'!R36-'Final OAP'!U36</f>
        <v>0</v>
      </c>
      <c r="G38" s="341">
        <f>'Final OAP'!L36+'Final OAP'!P36+'Final OAP'!S36-'Final OAP'!V36</f>
        <v>1061400</v>
      </c>
      <c r="H38" s="341">
        <f>'Final OAP'!M36+'Final OAP'!Q36+'Final OAP'!T36-'Final OAP'!W36</f>
        <v>0</v>
      </c>
      <c r="I38" s="341">
        <f t="shared" si="9"/>
        <v>1061400</v>
      </c>
      <c r="J38" s="309" t="s">
        <v>59</v>
      </c>
      <c r="K38" s="360" t="s">
        <v>1122</v>
      </c>
      <c r="L38" s="368"/>
      <c r="M38" s="344">
        <f t="shared" si="10"/>
        <v>0</v>
      </c>
      <c r="N38" s="346">
        <f>60000+70000+50000+130000+140000+140000+50000+50000+120000+80000-29300+90000+50000-140000+50000+50000+50000+50000-23300+12000+12000</f>
        <v>1061400</v>
      </c>
      <c r="O38" s="343">
        <f t="shared" si="11"/>
        <v>0</v>
      </c>
      <c r="P38" s="345"/>
      <c r="Q38" s="346">
        <f t="shared" si="12"/>
        <v>0</v>
      </c>
      <c r="R38" s="360" t="s">
        <v>1187</v>
      </c>
      <c r="S38" s="361" t="s">
        <v>1189</v>
      </c>
      <c r="T38" s="306" t="s">
        <v>1191</v>
      </c>
      <c r="U38" s="306" t="s">
        <v>693</v>
      </c>
      <c r="V38" s="369"/>
      <c r="W38" s="350">
        <f t="shared" si="13"/>
        <v>0</v>
      </c>
      <c r="X38" s="368"/>
      <c r="Y38" s="346">
        <f>60000+70000+50000+130000+140000+140000+50000+50000+120000+80000-29300+90000+50000-140000+50000+50000+50000+50000-23300+12000+12000</f>
        <v>1061400</v>
      </c>
      <c r="Z38" s="556">
        <f t="shared" si="14"/>
        <v>0</v>
      </c>
      <c r="AA38" s="346">
        <f>60000+70000+50000+130000+140000+140000+50000+50000+120000+80000-29300+90000+50000-140000+50000+50000+50000+50000-23300+12000+12000</f>
        <v>1061400</v>
      </c>
      <c r="AB38" s="369"/>
      <c r="AC38" s="353">
        <f t="shared" si="15"/>
        <v>0</v>
      </c>
      <c r="AD38" s="354"/>
    </row>
    <row r="39" spans="1:30" s="322" customFormat="1" ht="156.75" customHeight="1" x14ac:dyDescent="0.25">
      <c r="A39" s="338" t="s">
        <v>613</v>
      </c>
      <c r="B39" s="323">
        <v>2203018</v>
      </c>
      <c r="C39" s="324" t="s">
        <v>470</v>
      </c>
      <c r="D39" s="308" t="s">
        <v>294</v>
      </c>
      <c r="E39" s="373" t="s">
        <v>385</v>
      </c>
      <c r="F39" s="341">
        <f>'Final OAP'!K37+'Final OAP'!O37+'Final OAP'!R37-'Final OAP'!U37</f>
        <v>0</v>
      </c>
      <c r="G39" s="341">
        <f>'Final OAP'!L37+'Final OAP'!P37+'Final OAP'!S37-'Final OAP'!V37</f>
        <v>9043441</v>
      </c>
      <c r="H39" s="341">
        <f>'Final OAP'!M37+'Final OAP'!Q37+'Final OAP'!T37-'Final OAP'!W37</f>
        <v>0</v>
      </c>
      <c r="I39" s="341">
        <f t="shared" si="9"/>
        <v>9043441</v>
      </c>
      <c r="J39" s="309" t="s">
        <v>59</v>
      </c>
      <c r="K39" s="360" t="s">
        <v>1123</v>
      </c>
      <c r="L39" s="368"/>
      <c r="M39" s="344">
        <f t="shared" si="10"/>
        <v>0</v>
      </c>
      <c r="N39" s="346">
        <f>634913+211749+599491+599491+634913+599491+599491+599491+634913+211749+599491+599491+599491-634913+599491+599491+599491+599491+70583+85642</f>
        <v>9043441</v>
      </c>
      <c r="O39" s="343">
        <f t="shared" si="11"/>
        <v>0</v>
      </c>
      <c r="P39" s="345"/>
      <c r="Q39" s="346">
        <f t="shared" si="12"/>
        <v>0</v>
      </c>
      <c r="R39" s="360" t="s">
        <v>1188</v>
      </c>
      <c r="S39" s="361" t="s">
        <v>1190</v>
      </c>
      <c r="T39" s="306" t="s">
        <v>1191</v>
      </c>
      <c r="U39" s="306" t="s">
        <v>731</v>
      </c>
      <c r="V39" s="369"/>
      <c r="W39" s="350">
        <f t="shared" si="13"/>
        <v>0</v>
      </c>
      <c r="X39" s="368"/>
      <c r="Y39" s="346">
        <f>634913+211749+599491+599491+634913+599491+599491+599491+634913+211749+599491+599491+599491-634913+599491+599491+599491+599491+85642+70583</f>
        <v>9043441</v>
      </c>
      <c r="Z39" s="556">
        <f t="shared" si="14"/>
        <v>0</v>
      </c>
      <c r="AA39" s="346">
        <f>634913+211749+599491+599491+634913+599491+599491+599491+634913+211749+599491+599491+599491-634913+599491+599491+599491+599491+85642+70583</f>
        <v>9043441</v>
      </c>
      <c r="AB39" s="369"/>
      <c r="AC39" s="353">
        <f t="shared" si="15"/>
        <v>0</v>
      </c>
      <c r="AD39" s="354"/>
    </row>
    <row r="40" spans="1:30" ht="101.25" customHeight="1" x14ac:dyDescent="0.3">
      <c r="A40" s="338" t="s">
        <v>587</v>
      </c>
      <c r="B40" s="323">
        <v>2203018</v>
      </c>
      <c r="C40" s="324" t="s">
        <v>470</v>
      </c>
      <c r="D40" s="376" t="s">
        <v>66</v>
      </c>
      <c r="E40" s="377" t="s">
        <v>62</v>
      </c>
      <c r="F40" s="341">
        <f>'Final OAP'!K38+'Final OAP'!O38+'Final OAP'!R38-'Final OAP'!U38</f>
        <v>0</v>
      </c>
      <c r="G40" s="341">
        <f>'Final OAP'!L38+'Final OAP'!P38+'Final OAP'!S38-'Final OAP'!V38</f>
        <v>0</v>
      </c>
      <c r="H40" s="341">
        <f>'Final OAP'!M38+'Final OAP'!Q38+'Final OAP'!T38-'Final OAP'!W38</f>
        <v>0</v>
      </c>
      <c r="I40" s="341">
        <f t="shared" si="9"/>
        <v>0</v>
      </c>
      <c r="J40" s="309" t="s">
        <v>59</v>
      </c>
      <c r="K40" s="360"/>
      <c r="L40" s="368"/>
      <c r="M40" s="344">
        <f t="shared" si="10"/>
        <v>0</v>
      </c>
      <c r="N40" s="346"/>
      <c r="O40" s="343">
        <f t="shared" si="11"/>
        <v>0</v>
      </c>
      <c r="P40" s="345"/>
      <c r="Q40" s="346">
        <f t="shared" si="12"/>
        <v>0</v>
      </c>
      <c r="R40" s="360"/>
      <c r="S40" s="361"/>
      <c r="T40" s="306"/>
      <c r="U40" s="306"/>
      <c r="V40" s="369"/>
      <c r="W40" s="350">
        <f t="shared" si="13"/>
        <v>0</v>
      </c>
      <c r="X40" s="368"/>
      <c r="Y40" s="368"/>
      <c r="Z40" s="351">
        <f t="shared" si="14"/>
        <v>0</v>
      </c>
      <c r="AA40" s="368"/>
      <c r="AB40" s="369"/>
      <c r="AC40" s="353">
        <f t="shared" si="15"/>
        <v>0</v>
      </c>
      <c r="AD40" s="354"/>
    </row>
    <row r="41" spans="1:30" ht="101.25" customHeight="1" x14ac:dyDescent="0.3">
      <c r="A41" s="338" t="s">
        <v>596</v>
      </c>
      <c r="B41" s="323">
        <v>2203018</v>
      </c>
      <c r="C41" s="324" t="s">
        <v>470</v>
      </c>
      <c r="D41" s="376" t="s">
        <v>66</v>
      </c>
      <c r="E41" s="377" t="s">
        <v>843</v>
      </c>
      <c r="F41" s="341">
        <f>'Final OAP'!K39+'Final OAP'!O39+'Final OAP'!R39-'Final OAP'!U39</f>
        <v>0</v>
      </c>
      <c r="G41" s="341">
        <f>'Final OAP'!L39+'Final OAP'!P39+'Final OAP'!S39-'Final OAP'!V39</f>
        <v>0</v>
      </c>
      <c r="H41" s="341">
        <f>'Final OAP'!M39+'Final OAP'!Q39+'Final OAP'!T39-'Final OAP'!W39</f>
        <v>0</v>
      </c>
      <c r="I41" s="341">
        <f t="shared" ref="I41:I72" si="16">+G41+H41+F41</f>
        <v>0</v>
      </c>
      <c r="J41" s="309" t="s">
        <v>59</v>
      </c>
      <c r="K41" s="360"/>
      <c r="L41" s="368"/>
      <c r="M41" s="344">
        <f t="shared" ref="M41:M72" si="17">F41-L41</f>
        <v>0</v>
      </c>
      <c r="N41" s="346"/>
      <c r="O41" s="343">
        <f t="shared" ref="O41:O66" si="18">+G41-N41</f>
        <v>0</v>
      </c>
      <c r="P41" s="345"/>
      <c r="Q41" s="346">
        <f t="shared" ref="Q41:Q72" si="19">H41-P41</f>
        <v>0</v>
      </c>
      <c r="R41" s="360"/>
      <c r="S41" s="361"/>
      <c r="T41" s="306"/>
      <c r="U41" s="306"/>
      <c r="V41" s="369"/>
      <c r="W41" s="350">
        <f t="shared" ref="W41:W72" si="20">F41-V41</f>
        <v>0</v>
      </c>
      <c r="X41" s="368"/>
      <c r="Y41" s="368"/>
      <c r="Z41" s="351">
        <f t="shared" ref="Z41:Z72" si="21">G41-Y41</f>
        <v>0</v>
      </c>
      <c r="AA41" s="368"/>
      <c r="AB41" s="369"/>
      <c r="AC41" s="353">
        <f t="shared" ref="AC41:AC72" si="22">H41-AB41</f>
        <v>0</v>
      </c>
      <c r="AD41" s="354"/>
    </row>
    <row r="42" spans="1:30" ht="101.25" customHeight="1" x14ac:dyDescent="0.3">
      <c r="A42" s="338" t="s">
        <v>587</v>
      </c>
      <c r="B42" s="323">
        <v>2203018</v>
      </c>
      <c r="C42" s="324" t="s">
        <v>470</v>
      </c>
      <c r="D42" s="376" t="s">
        <v>66</v>
      </c>
      <c r="E42" s="373" t="s">
        <v>321</v>
      </c>
      <c r="F42" s="341">
        <f>'Final OAP'!K40+'Final OAP'!O40+'Final OAP'!R40-'Final OAP'!U40</f>
        <v>0</v>
      </c>
      <c r="G42" s="341">
        <f>'Final OAP'!L40+'Final OAP'!P40+'Final OAP'!S40-'Final OAP'!V40</f>
        <v>20244219.99999997</v>
      </c>
      <c r="H42" s="341">
        <f>'Final OAP'!M40+'Final OAP'!Q40+'Final OAP'!T40-'Final OAP'!W40</f>
        <v>0</v>
      </c>
      <c r="I42" s="341">
        <f t="shared" si="16"/>
        <v>20244219.99999997</v>
      </c>
      <c r="J42" s="309" t="s">
        <v>59</v>
      </c>
      <c r="K42" s="356" t="s">
        <v>607</v>
      </c>
      <c r="L42" s="368"/>
      <c r="M42" s="344">
        <f t="shared" si="17"/>
        <v>0</v>
      </c>
      <c r="N42" s="375">
        <v>20244220</v>
      </c>
      <c r="O42" s="343">
        <f t="shared" si="18"/>
        <v>-2.9802322387695313E-8</v>
      </c>
      <c r="P42" s="345"/>
      <c r="Q42" s="346">
        <f t="shared" si="19"/>
        <v>0</v>
      </c>
      <c r="R42" s="360" t="s">
        <v>808</v>
      </c>
      <c r="S42" s="360" t="s">
        <v>809</v>
      </c>
      <c r="T42" s="360" t="s">
        <v>810</v>
      </c>
      <c r="U42" s="360" t="s">
        <v>811</v>
      </c>
      <c r="V42" s="369"/>
      <c r="W42" s="350">
        <f t="shared" si="20"/>
        <v>0</v>
      </c>
      <c r="X42" s="368"/>
      <c r="Y42" s="368">
        <v>20244220</v>
      </c>
      <c r="Z42" s="351">
        <f t="shared" si="21"/>
        <v>-2.9802322387695313E-8</v>
      </c>
      <c r="AA42" s="368">
        <f>12146532+2024422+2024422+2024422</f>
        <v>18219798</v>
      </c>
      <c r="AB42" s="369"/>
      <c r="AC42" s="353">
        <f t="shared" si="22"/>
        <v>0</v>
      </c>
      <c r="AD42" s="354"/>
    </row>
    <row r="43" spans="1:30" ht="121.5" customHeight="1" x14ac:dyDescent="0.3">
      <c r="A43" s="338" t="s">
        <v>587</v>
      </c>
      <c r="B43" s="323">
        <v>2203018</v>
      </c>
      <c r="C43" s="324" t="s">
        <v>470</v>
      </c>
      <c r="D43" s="376" t="s">
        <v>66</v>
      </c>
      <c r="E43" s="373" t="s">
        <v>343</v>
      </c>
      <c r="F43" s="341">
        <f>'Final OAP'!K41+'Final OAP'!O41+'Final OAP'!R41-'Final OAP'!U41</f>
        <v>0</v>
      </c>
      <c r="G43" s="341">
        <f>'Final OAP'!L41+'Final OAP'!P41+'Final OAP'!S41-'Final OAP'!V41</f>
        <v>20244219.99999997</v>
      </c>
      <c r="H43" s="341">
        <f>'Final OAP'!M41+'Final OAP'!Q41+'Final OAP'!T41-'Final OAP'!W41</f>
        <v>0</v>
      </c>
      <c r="I43" s="341">
        <f t="shared" si="16"/>
        <v>20244219.99999997</v>
      </c>
      <c r="J43" s="309" t="s">
        <v>59</v>
      </c>
      <c r="K43" s="356" t="s">
        <v>609</v>
      </c>
      <c r="L43" s="368"/>
      <c r="M43" s="344">
        <f t="shared" si="17"/>
        <v>0</v>
      </c>
      <c r="N43" s="375">
        <v>20244220</v>
      </c>
      <c r="O43" s="343">
        <f t="shared" si="18"/>
        <v>-2.9802322387695313E-8</v>
      </c>
      <c r="P43" s="345"/>
      <c r="Q43" s="346">
        <f t="shared" si="19"/>
        <v>0</v>
      </c>
      <c r="R43" s="360" t="s">
        <v>812</v>
      </c>
      <c r="S43" s="360" t="s">
        <v>809</v>
      </c>
      <c r="T43" s="360" t="s">
        <v>813</v>
      </c>
      <c r="U43" s="360" t="s">
        <v>814</v>
      </c>
      <c r="V43" s="369"/>
      <c r="W43" s="350">
        <f t="shared" si="20"/>
        <v>0</v>
      </c>
      <c r="X43" s="368"/>
      <c r="Y43" s="368">
        <v>20244220</v>
      </c>
      <c r="Z43" s="351">
        <f t="shared" si="21"/>
        <v>-2.9802322387695313E-8</v>
      </c>
      <c r="AA43" s="368">
        <f>12146532+2024422+2024422+2024422</f>
        <v>18219798</v>
      </c>
      <c r="AB43" s="369"/>
      <c r="AC43" s="353">
        <f t="shared" si="22"/>
        <v>0</v>
      </c>
      <c r="AD43" s="354"/>
    </row>
    <row r="44" spans="1:30" ht="101.25" customHeight="1" x14ac:dyDescent="0.3">
      <c r="A44" s="338" t="s">
        <v>587</v>
      </c>
      <c r="B44" s="323">
        <v>2203018</v>
      </c>
      <c r="C44" s="324" t="s">
        <v>470</v>
      </c>
      <c r="D44" s="376" t="s">
        <v>66</v>
      </c>
      <c r="E44" s="373" t="s">
        <v>322</v>
      </c>
      <c r="F44" s="341">
        <f>'Final OAP'!K42+'Final OAP'!O42+'Final OAP'!R42-'Final OAP'!U42</f>
        <v>0</v>
      </c>
      <c r="G44" s="341">
        <f>'Final OAP'!L42+'Final OAP'!P42+'Final OAP'!S42-'Final OAP'!V42</f>
        <v>20244219.99999997</v>
      </c>
      <c r="H44" s="341">
        <f>'Final OAP'!M42+'Final OAP'!Q42+'Final OAP'!T42-'Final OAP'!W42</f>
        <v>0</v>
      </c>
      <c r="I44" s="341">
        <f t="shared" si="16"/>
        <v>20244219.99999997</v>
      </c>
      <c r="J44" s="309" t="s">
        <v>59</v>
      </c>
      <c r="K44" s="356" t="s">
        <v>608</v>
      </c>
      <c r="L44" s="368"/>
      <c r="M44" s="344">
        <f t="shared" si="17"/>
        <v>0</v>
      </c>
      <c r="N44" s="375">
        <v>20244220</v>
      </c>
      <c r="O44" s="343">
        <f t="shared" si="18"/>
        <v>-2.9802322387695313E-8</v>
      </c>
      <c r="P44" s="345"/>
      <c r="Q44" s="346">
        <f t="shared" si="19"/>
        <v>0</v>
      </c>
      <c r="R44" s="360" t="s">
        <v>815</v>
      </c>
      <c r="S44" s="360" t="s">
        <v>809</v>
      </c>
      <c r="T44" s="360" t="s">
        <v>816</v>
      </c>
      <c r="U44" s="360" t="s">
        <v>817</v>
      </c>
      <c r="V44" s="369"/>
      <c r="W44" s="350">
        <f t="shared" si="20"/>
        <v>0</v>
      </c>
      <c r="X44" s="368"/>
      <c r="Y44" s="368">
        <v>20244220</v>
      </c>
      <c r="Z44" s="351">
        <f t="shared" si="21"/>
        <v>-2.9802322387695313E-8</v>
      </c>
      <c r="AA44" s="368">
        <f>12146532+2024422+2024422+2024422</f>
        <v>18219798</v>
      </c>
      <c r="AB44" s="369"/>
      <c r="AC44" s="353">
        <f t="shared" si="22"/>
        <v>0</v>
      </c>
      <c r="AD44" s="354"/>
    </row>
    <row r="45" spans="1:30" ht="101.25" customHeight="1" x14ac:dyDescent="0.3">
      <c r="A45" s="338" t="s">
        <v>587</v>
      </c>
      <c r="B45" s="323">
        <v>2203018</v>
      </c>
      <c r="C45" s="324" t="s">
        <v>470</v>
      </c>
      <c r="D45" s="376" t="s">
        <v>66</v>
      </c>
      <c r="E45" s="373" t="s">
        <v>863</v>
      </c>
      <c r="F45" s="341">
        <f>'Final OAP'!K43+'Final OAP'!O43+'Final OAP'!R43-'Final OAP'!U43</f>
        <v>2946091</v>
      </c>
      <c r="G45" s="341">
        <f>'Final OAP'!L43+'Final OAP'!P43+'Final OAP'!S43-'Final OAP'!V43</f>
        <v>7053909</v>
      </c>
      <c r="H45" s="341">
        <f>'Final OAP'!M43+'Final OAP'!Q43+'Final OAP'!T43-'Final OAP'!W43</f>
        <v>0</v>
      </c>
      <c r="I45" s="341">
        <f t="shared" si="16"/>
        <v>10000000</v>
      </c>
      <c r="J45" s="309" t="s">
        <v>59</v>
      </c>
      <c r="K45" s="356" t="s">
        <v>903</v>
      </c>
      <c r="L45" s="368">
        <v>2946091</v>
      </c>
      <c r="M45" s="344">
        <f t="shared" si="17"/>
        <v>0</v>
      </c>
      <c r="N45" s="375">
        <v>7053909</v>
      </c>
      <c r="O45" s="343">
        <f t="shared" si="18"/>
        <v>0</v>
      </c>
      <c r="P45" s="345"/>
      <c r="Q45" s="346">
        <f t="shared" si="19"/>
        <v>0</v>
      </c>
      <c r="R45" s="360">
        <v>40319</v>
      </c>
      <c r="S45" s="360" t="s">
        <v>984</v>
      </c>
      <c r="T45" s="360" t="s">
        <v>988</v>
      </c>
      <c r="U45" s="360" t="s">
        <v>982</v>
      </c>
      <c r="V45" s="368">
        <v>2946091</v>
      </c>
      <c r="W45" s="350">
        <f t="shared" si="20"/>
        <v>0</v>
      </c>
      <c r="X45" s="368">
        <f>2500000+446091</f>
        <v>2946091</v>
      </c>
      <c r="Y45" s="368">
        <v>7053909</v>
      </c>
      <c r="Z45" s="351">
        <f t="shared" si="21"/>
        <v>0</v>
      </c>
      <c r="AA45" s="368">
        <f>2053909+2500000+2500000</f>
        <v>7053909</v>
      </c>
      <c r="AB45" s="369"/>
      <c r="AC45" s="353">
        <f t="shared" si="22"/>
        <v>0</v>
      </c>
      <c r="AD45" s="354"/>
    </row>
    <row r="46" spans="1:30" ht="101.25" customHeight="1" x14ac:dyDescent="0.3">
      <c r="A46" s="338" t="s">
        <v>587</v>
      </c>
      <c r="B46" s="323">
        <v>2203018</v>
      </c>
      <c r="C46" s="324" t="s">
        <v>470</v>
      </c>
      <c r="D46" s="376" t="s">
        <v>66</v>
      </c>
      <c r="E46" s="373" t="s">
        <v>864</v>
      </c>
      <c r="F46" s="341">
        <f>'Final OAP'!K44+'Final OAP'!O44+'Final OAP'!R44-'Final OAP'!U44</f>
        <v>8097688</v>
      </c>
      <c r="G46" s="341">
        <f>'Final OAP'!L44+'Final OAP'!P44+'Final OAP'!S44-'Final OAP'!V44</f>
        <v>0</v>
      </c>
      <c r="H46" s="341">
        <f>'Final OAP'!M44+'Final OAP'!Q44+'Final OAP'!T44-'Final OAP'!W44</f>
        <v>0</v>
      </c>
      <c r="I46" s="341">
        <f t="shared" si="16"/>
        <v>8097688</v>
      </c>
      <c r="J46" s="309" t="s">
        <v>59</v>
      </c>
      <c r="K46" s="356" t="s">
        <v>971</v>
      </c>
      <c r="L46" s="368">
        <v>8097688</v>
      </c>
      <c r="M46" s="344">
        <f t="shared" si="17"/>
        <v>0</v>
      </c>
      <c r="N46" s="375"/>
      <c r="O46" s="343">
        <f t="shared" si="18"/>
        <v>0</v>
      </c>
      <c r="P46" s="345"/>
      <c r="Q46" s="346">
        <f t="shared" si="19"/>
        <v>0</v>
      </c>
      <c r="R46" s="360">
        <v>40019</v>
      </c>
      <c r="S46" s="360">
        <v>43713</v>
      </c>
      <c r="T46" s="360" t="s">
        <v>977</v>
      </c>
      <c r="U46" s="360" t="s">
        <v>978</v>
      </c>
      <c r="V46" s="369">
        <v>8097688</v>
      </c>
      <c r="W46" s="555">
        <f t="shared" si="20"/>
        <v>0</v>
      </c>
      <c r="X46" s="368">
        <f>2024422+2024422+2024422+2024422</f>
        <v>8097688</v>
      </c>
      <c r="Y46" s="368"/>
      <c r="Z46" s="351">
        <f t="shared" si="21"/>
        <v>0</v>
      </c>
      <c r="AA46" s="368"/>
      <c r="AB46" s="369"/>
      <c r="AC46" s="353">
        <f t="shared" si="22"/>
        <v>0</v>
      </c>
      <c r="AD46" s="354"/>
    </row>
    <row r="47" spans="1:30" ht="101.25" customHeight="1" x14ac:dyDescent="0.3">
      <c r="A47" s="338" t="s">
        <v>587</v>
      </c>
      <c r="B47" s="323">
        <v>2203018</v>
      </c>
      <c r="C47" s="324" t="s">
        <v>470</v>
      </c>
      <c r="D47" s="376" t="s">
        <v>66</v>
      </c>
      <c r="E47" s="373" t="s">
        <v>865</v>
      </c>
      <c r="F47" s="341">
        <f>'Final OAP'!K45+'Final OAP'!O45+'Final OAP'!R45-'Final OAP'!U45</f>
        <v>10000000</v>
      </c>
      <c r="G47" s="341">
        <f>'Final OAP'!L45+'Final OAP'!P45+'Final OAP'!S45-'Final OAP'!V45</f>
        <v>0</v>
      </c>
      <c r="H47" s="341">
        <f>'Final OAP'!M45+'Final OAP'!Q45+'Final OAP'!T45-'Final OAP'!W45</f>
        <v>0</v>
      </c>
      <c r="I47" s="341">
        <f t="shared" si="16"/>
        <v>10000000</v>
      </c>
      <c r="J47" s="309" t="s">
        <v>59</v>
      </c>
      <c r="K47" s="356" t="s">
        <v>901</v>
      </c>
      <c r="L47" s="368">
        <v>10000000</v>
      </c>
      <c r="M47" s="344">
        <f t="shared" si="17"/>
        <v>0</v>
      </c>
      <c r="N47" s="375"/>
      <c r="O47" s="343">
        <f t="shared" si="18"/>
        <v>0</v>
      </c>
      <c r="P47" s="345"/>
      <c r="Q47" s="346">
        <f t="shared" si="19"/>
        <v>0</v>
      </c>
      <c r="R47" s="360">
        <v>40519</v>
      </c>
      <c r="S47" s="360" t="s">
        <v>984</v>
      </c>
      <c r="T47" s="360" t="s">
        <v>986</v>
      </c>
      <c r="U47" s="360" t="s">
        <v>980</v>
      </c>
      <c r="V47" s="368">
        <v>10000000</v>
      </c>
      <c r="W47" s="350">
        <f t="shared" si="20"/>
        <v>0</v>
      </c>
      <c r="X47" s="368">
        <f>2500000+2500000+2500000+2500000</f>
        <v>10000000</v>
      </c>
      <c r="Y47" s="368"/>
      <c r="Z47" s="351">
        <f t="shared" si="21"/>
        <v>0</v>
      </c>
      <c r="AA47" s="368"/>
      <c r="AB47" s="369"/>
      <c r="AC47" s="353">
        <f t="shared" si="22"/>
        <v>0</v>
      </c>
      <c r="AD47" s="354"/>
    </row>
    <row r="48" spans="1:30" ht="101.25" customHeight="1" x14ac:dyDescent="0.3">
      <c r="A48" s="338" t="s">
        <v>587</v>
      </c>
      <c r="B48" s="323">
        <v>2203018</v>
      </c>
      <c r="C48" s="324" t="s">
        <v>470</v>
      </c>
      <c r="D48" s="376" t="s">
        <v>66</v>
      </c>
      <c r="E48" s="373" t="s">
        <v>866</v>
      </c>
      <c r="F48" s="341">
        <f>'Final OAP'!K46+'Final OAP'!O46+'Final OAP'!R46-'Final OAP'!U46</f>
        <v>10000000</v>
      </c>
      <c r="G48" s="341">
        <f>'Final OAP'!L46+'Final OAP'!P46+'Final OAP'!S46-'Final OAP'!V46</f>
        <v>0</v>
      </c>
      <c r="H48" s="341">
        <f>'Final OAP'!M46+'Final OAP'!Q46+'Final OAP'!T46-'Final OAP'!W46</f>
        <v>0</v>
      </c>
      <c r="I48" s="341">
        <f t="shared" si="16"/>
        <v>10000000</v>
      </c>
      <c r="J48" s="309" t="s">
        <v>59</v>
      </c>
      <c r="K48" s="356" t="s">
        <v>900</v>
      </c>
      <c r="L48" s="368">
        <v>10000000</v>
      </c>
      <c r="M48" s="344">
        <f t="shared" si="17"/>
        <v>0</v>
      </c>
      <c r="N48" s="375"/>
      <c r="O48" s="343">
        <f t="shared" si="18"/>
        <v>0</v>
      </c>
      <c r="P48" s="345"/>
      <c r="Q48" s="346">
        <f t="shared" si="19"/>
        <v>0</v>
      </c>
      <c r="R48" s="360">
        <v>40219</v>
      </c>
      <c r="S48" s="360" t="s">
        <v>984</v>
      </c>
      <c r="T48" s="360" t="s">
        <v>985</v>
      </c>
      <c r="U48" s="360" t="s">
        <v>979</v>
      </c>
      <c r="V48" s="368">
        <v>10000000</v>
      </c>
      <c r="W48" s="350">
        <f t="shared" si="20"/>
        <v>0</v>
      </c>
      <c r="X48" s="368">
        <f>2500000+2500000+2500000+2500000</f>
        <v>10000000</v>
      </c>
      <c r="Y48" s="368"/>
      <c r="Z48" s="351">
        <f t="shared" si="21"/>
        <v>0</v>
      </c>
      <c r="AA48" s="368"/>
      <c r="AB48" s="369"/>
      <c r="AC48" s="353">
        <f t="shared" si="22"/>
        <v>0</v>
      </c>
      <c r="AD48" s="354"/>
    </row>
    <row r="49" spans="1:30" ht="101.25" customHeight="1" x14ac:dyDescent="0.3">
      <c r="A49" s="338" t="s">
        <v>587</v>
      </c>
      <c r="B49" s="323">
        <v>2203018</v>
      </c>
      <c r="C49" s="324" t="s">
        <v>470</v>
      </c>
      <c r="D49" s="376" t="s">
        <v>66</v>
      </c>
      <c r="E49" s="373" t="s">
        <v>867</v>
      </c>
      <c r="F49" s="341">
        <f>'Final OAP'!K47+'Final OAP'!O47+'Final OAP'!R47-'Final OAP'!U47</f>
        <v>10000000</v>
      </c>
      <c r="G49" s="341">
        <f>'Final OAP'!L47+'Final OAP'!P47+'Final OAP'!S47-'Final OAP'!V47</f>
        <v>0</v>
      </c>
      <c r="H49" s="341">
        <f>'Final OAP'!M47+'Final OAP'!Q47+'Final OAP'!T47-'Final OAP'!W47</f>
        <v>0</v>
      </c>
      <c r="I49" s="341">
        <f t="shared" si="16"/>
        <v>10000000</v>
      </c>
      <c r="J49" s="309" t="s">
        <v>59</v>
      </c>
      <c r="K49" s="356" t="s">
        <v>904</v>
      </c>
      <c r="L49" s="368">
        <v>10000000</v>
      </c>
      <c r="M49" s="344">
        <f t="shared" si="17"/>
        <v>0</v>
      </c>
      <c r="N49" s="375"/>
      <c r="O49" s="343">
        <f t="shared" si="18"/>
        <v>0</v>
      </c>
      <c r="P49" s="345"/>
      <c r="Q49" s="346">
        <f t="shared" si="19"/>
        <v>0</v>
      </c>
      <c r="R49" s="360">
        <v>40419</v>
      </c>
      <c r="S49" s="360" t="s">
        <v>984</v>
      </c>
      <c r="T49" s="360" t="s">
        <v>989</v>
      </c>
      <c r="U49" s="360" t="s">
        <v>983</v>
      </c>
      <c r="V49" s="368">
        <v>10000000</v>
      </c>
      <c r="W49" s="350">
        <f t="shared" si="20"/>
        <v>0</v>
      </c>
      <c r="X49" s="368">
        <f>2500000+2500000+2500000+2500000</f>
        <v>10000000</v>
      </c>
      <c r="Y49" s="368"/>
      <c r="Z49" s="351">
        <f t="shared" si="21"/>
        <v>0</v>
      </c>
      <c r="AA49" s="368"/>
      <c r="AB49" s="369"/>
      <c r="AC49" s="353">
        <f t="shared" si="22"/>
        <v>0</v>
      </c>
      <c r="AD49" s="354"/>
    </row>
    <row r="50" spans="1:30" s="322" customFormat="1" ht="101.25" customHeight="1" x14ac:dyDescent="0.25">
      <c r="A50" s="338" t="s">
        <v>587</v>
      </c>
      <c r="B50" s="323">
        <v>2203018</v>
      </c>
      <c r="C50" s="324" t="s">
        <v>470</v>
      </c>
      <c r="D50" s="376" t="s">
        <v>66</v>
      </c>
      <c r="E50" s="373" t="s">
        <v>868</v>
      </c>
      <c r="F50" s="341">
        <f>'Final OAP'!K48+'Final OAP'!O48+'Final OAP'!R48-'Final OAP'!U48</f>
        <v>9911400</v>
      </c>
      <c r="G50" s="341">
        <f>'Final OAP'!L48+'Final OAP'!P48+'Final OAP'!S48-'Final OAP'!V48</f>
        <v>0</v>
      </c>
      <c r="H50" s="341">
        <f>'Final OAP'!M48+'Final OAP'!Q48+'Final OAP'!T48-'Final OAP'!W48</f>
        <v>0</v>
      </c>
      <c r="I50" s="341">
        <f t="shared" si="16"/>
        <v>9911400</v>
      </c>
      <c r="J50" s="309" t="s">
        <v>59</v>
      </c>
      <c r="K50" s="356" t="s">
        <v>902</v>
      </c>
      <c r="L50" s="368">
        <v>9911400</v>
      </c>
      <c r="M50" s="550">
        <f t="shared" si="17"/>
        <v>0</v>
      </c>
      <c r="N50" s="375"/>
      <c r="O50" s="343">
        <f t="shared" si="18"/>
        <v>0</v>
      </c>
      <c r="P50" s="345"/>
      <c r="Q50" s="346">
        <f t="shared" si="19"/>
        <v>0</v>
      </c>
      <c r="R50" s="360">
        <v>40119</v>
      </c>
      <c r="S50" s="360" t="s">
        <v>984</v>
      </c>
      <c r="T50" s="360" t="s">
        <v>987</v>
      </c>
      <c r="U50" s="360" t="s">
        <v>981</v>
      </c>
      <c r="V50" s="368">
        <v>9911400</v>
      </c>
      <c r="W50" s="555">
        <f t="shared" si="20"/>
        <v>0</v>
      </c>
      <c r="X50" s="368">
        <f>2477850+2477850+2477850+2477850</f>
        <v>9911400</v>
      </c>
      <c r="Y50" s="368"/>
      <c r="Z50" s="351">
        <f t="shared" si="21"/>
        <v>0</v>
      </c>
      <c r="AA50" s="368"/>
      <c r="AB50" s="369"/>
      <c r="AC50" s="353">
        <f t="shared" si="22"/>
        <v>0</v>
      </c>
      <c r="AD50" s="354"/>
    </row>
    <row r="51" spans="1:30" s="322" customFormat="1" ht="141.75" customHeight="1" x14ac:dyDescent="0.25">
      <c r="A51" s="338"/>
      <c r="B51" s="323">
        <v>2203018</v>
      </c>
      <c r="C51" s="324" t="s">
        <v>470</v>
      </c>
      <c r="D51" s="376" t="s">
        <v>66</v>
      </c>
      <c r="E51" s="373" t="s">
        <v>869</v>
      </c>
      <c r="F51" s="341">
        <f>'Final OAP'!K49+'Final OAP'!O49+'Final OAP'!R49-'Final OAP'!U49</f>
        <v>1951837</v>
      </c>
      <c r="G51" s="341">
        <f>'Final OAP'!L49+'Final OAP'!P49+'Final OAP'!S49-'Final OAP'!V49</f>
        <v>0</v>
      </c>
      <c r="H51" s="341">
        <f>'Final OAP'!M49+'Final OAP'!Q49+'Final OAP'!T49-'Final OAP'!W49</f>
        <v>0</v>
      </c>
      <c r="I51" s="341">
        <f t="shared" si="16"/>
        <v>1951837</v>
      </c>
      <c r="J51" s="309" t="s">
        <v>59</v>
      </c>
      <c r="K51" s="356" t="s">
        <v>1209</v>
      </c>
      <c r="L51" s="368">
        <v>1951837</v>
      </c>
      <c r="M51" s="550">
        <f t="shared" si="17"/>
        <v>0</v>
      </c>
      <c r="N51" s="375"/>
      <c r="O51" s="343">
        <f t="shared" si="18"/>
        <v>0</v>
      </c>
      <c r="P51" s="345"/>
      <c r="Q51" s="346">
        <f t="shared" si="19"/>
        <v>0</v>
      </c>
      <c r="R51" s="360"/>
      <c r="S51" s="360"/>
      <c r="T51" s="360"/>
      <c r="U51" s="360"/>
      <c r="V51" s="369"/>
      <c r="W51" s="350">
        <f t="shared" si="20"/>
        <v>1951837</v>
      </c>
      <c r="X51" s="368"/>
      <c r="Y51" s="368"/>
      <c r="Z51" s="556">
        <f t="shared" si="21"/>
        <v>0</v>
      </c>
      <c r="AA51" s="368"/>
      <c r="AB51" s="369"/>
      <c r="AC51" s="353">
        <f t="shared" si="22"/>
        <v>0</v>
      </c>
      <c r="AD51" s="354"/>
    </row>
    <row r="52" spans="1:30" ht="121.5" customHeight="1" x14ac:dyDescent="0.3">
      <c r="A52" s="378" t="s">
        <v>620</v>
      </c>
      <c r="B52" s="323">
        <v>2203018</v>
      </c>
      <c r="C52" s="324" t="s">
        <v>470</v>
      </c>
      <c r="D52" s="379" t="s">
        <v>63</v>
      </c>
      <c r="E52" s="373" t="s">
        <v>382</v>
      </c>
      <c r="F52" s="341">
        <f>'Final OAP'!K50+'Final OAP'!O50+'Final OAP'!R50-'Final OAP'!U50</f>
        <v>0</v>
      </c>
      <c r="G52" s="341">
        <f>'Final OAP'!L50+'Final OAP'!P50+'Final OAP'!S50-'Final OAP'!V50</f>
        <v>0</v>
      </c>
      <c r="H52" s="341">
        <f>'Final OAP'!M50+'Final OAP'!Q50+'Final OAP'!T50-'Final OAP'!W50</f>
        <v>0</v>
      </c>
      <c r="I52" s="341">
        <f t="shared" si="16"/>
        <v>0</v>
      </c>
      <c r="J52" s="309" t="s">
        <v>59</v>
      </c>
      <c r="K52" s="360"/>
      <c r="L52" s="368"/>
      <c r="M52" s="344">
        <f t="shared" si="17"/>
        <v>0</v>
      </c>
      <c r="N52" s="346"/>
      <c r="O52" s="343">
        <f t="shared" si="18"/>
        <v>0</v>
      </c>
      <c r="P52" s="345"/>
      <c r="Q52" s="346">
        <f t="shared" si="19"/>
        <v>0</v>
      </c>
      <c r="R52" s="481"/>
      <c r="S52" s="361"/>
      <c r="T52" s="306"/>
      <c r="U52" s="306"/>
      <c r="V52" s="369"/>
      <c r="W52" s="350">
        <f t="shared" si="20"/>
        <v>0</v>
      </c>
      <c r="X52" s="368"/>
      <c r="Y52" s="368"/>
      <c r="Z52" s="351">
        <f t="shared" si="21"/>
        <v>0</v>
      </c>
      <c r="AA52" s="368"/>
      <c r="AB52" s="369"/>
      <c r="AC52" s="353">
        <f t="shared" si="22"/>
        <v>0</v>
      </c>
      <c r="AD52" s="354"/>
    </row>
    <row r="53" spans="1:30" s="365" customFormat="1" ht="81" customHeight="1" x14ac:dyDescent="0.3">
      <c r="A53" s="338" t="s">
        <v>587</v>
      </c>
      <c r="B53" s="323">
        <v>2203018</v>
      </c>
      <c r="C53" s="324" t="s">
        <v>470</v>
      </c>
      <c r="D53" s="380" t="s">
        <v>71</v>
      </c>
      <c r="E53" s="377" t="s">
        <v>145</v>
      </c>
      <c r="F53" s="341">
        <f>'Final OAP'!K53+'Final OAP'!O53+'Final OAP'!R53-'Final OAP'!U53</f>
        <v>0</v>
      </c>
      <c r="G53" s="341">
        <f>'Final OAP'!L53+'Final OAP'!P53+'Final OAP'!S53-'Final OAP'!V53</f>
        <v>0</v>
      </c>
      <c r="H53" s="341">
        <f>'Final OAP'!M53+'Final OAP'!Q53+'Final OAP'!T53-'Final OAP'!W53</f>
        <v>0</v>
      </c>
      <c r="I53" s="341">
        <f t="shared" si="16"/>
        <v>0</v>
      </c>
      <c r="J53" s="309" t="s">
        <v>59</v>
      </c>
      <c r="K53" s="360"/>
      <c r="L53" s="368"/>
      <c r="M53" s="344">
        <f t="shared" si="17"/>
        <v>0</v>
      </c>
      <c r="N53" s="346"/>
      <c r="O53" s="343">
        <f t="shared" si="18"/>
        <v>0</v>
      </c>
      <c r="P53" s="345"/>
      <c r="Q53" s="346">
        <f t="shared" si="19"/>
        <v>0</v>
      </c>
      <c r="R53" s="360"/>
      <c r="S53" s="306"/>
      <c r="T53" s="306"/>
      <c r="U53" s="306"/>
      <c r="V53" s="369"/>
      <c r="W53" s="350">
        <f t="shared" si="20"/>
        <v>0</v>
      </c>
      <c r="X53" s="368"/>
      <c r="Y53" s="368"/>
      <c r="Z53" s="351">
        <f t="shared" si="21"/>
        <v>0</v>
      </c>
      <c r="AA53" s="368"/>
      <c r="AB53" s="369"/>
      <c r="AC53" s="353">
        <f t="shared" si="22"/>
        <v>0</v>
      </c>
      <c r="AD53" s="354"/>
    </row>
    <row r="54" spans="1:30" s="322" customFormat="1" ht="81" customHeight="1" x14ac:dyDescent="0.25">
      <c r="A54" s="338" t="s">
        <v>587</v>
      </c>
      <c r="B54" s="323">
        <v>2203018</v>
      </c>
      <c r="C54" s="324" t="s">
        <v>470</v>
      </c>
      <c r="D54" s="380" t="s">
        <v>71</v>
      </c>
      <c r="E54" s="377" t="s">
        <v>702</v>
      </c>
      <c r="F54" s="341">
        <f>'Final OAP'!K54+'Final OAP'!O54+'Final OAP'!R54-'Final OAP'!U54</f>
        <v>0</v>
      </c>
      <c r="G54" s="341">
        <f>'Final OAP'!L54+'Final OAP'!P54+'Final OAP'!S54-'Final OAP'!V54</f>
        <v>0</v>
      </c>
      <c r="H54" s="341">
        <f>'Final OAP'!M54+'Final OAP'!Q54+'Final OAP'!T54-'Final OAP'!W54</f>
        <v>0</v>
      </c>
      <c r="I54" s="341">
        <f t="shared" si="16"/>
        <v>0</v>
      </c>
      <c r="J54" s="309" t="s">
        <v>59</v>
      </c>
      <c r="K54" s="360"/>
      <c r="L54" s="368"/>
      <c r="M54" s="344">
        <f t="shared" si="17"/>
        <v>0</v>
      </c>
      <c r="N54" s="346"/>
      <c r="O54" s="343">
        <f t="shared" si="18"/>
        <v>0</v>
      </c>
      <c r="P54" s="345"/>
      <c r="Q54" s="346">
        <f t="shared" si="19"/>
        <v>0</v>
      </c>
      <c r="R54" s="360"/>
      <c r="S54" s="306"/>
      <c r="T54" s="306"/>
      <c r="U54" s="306"/>
      <c r="V54" s="369"/>
      <c r="W54" s="350">
        <f t="shared" si="20"/>
        <v>0</v>
      </c>
      <c r="X54" s="368"/>
      <c r="Y54" s="368"/>
      <c r="Z54" s="351">
        <f t="shared" si="21"/>
        <v>0</v>
      </c>
      <c r="AA54" s="368"/>
      <c r="AB54" s="369"/>
      <c r="AC54" s="353">
        <f t="shared" si="22"/>
        <v>0</v>
      </c>
      <c r="AD54" s="354"/>
    </row>
    <row r="55" spans="1:30" s="322" customFormat="1" ht="101.25" customHeight="1" x14ac:dyDescent="0.25">
      <c r="A55" s="338" t="s">
        <v>587</v>
      </c>
      <c r="B55" s="323">
        <v>2203018</v>
      </c>
      <c r="C55" s="324" t="s">
        <v>470</v>
      </c>
      <c r="D55" s="380" t="s">
        <v>71</v>
      </c>
      <c r="E55" s="377" t="s">
        <v>746</v>
      </c>
      <c r="F55" s="341">
        <f>'Final OAP'!K55+'Final OAP'!O55+'Final OAP'!R55-'Final OAP'!U55</f>
        <v>0</v>
      </c>
      <c r="G55" s="341">
        <f>'Final OAP'!L55+'Final OAP'!P55+'Final OAP'!S55-'Final OAP'!V55</f>
        <v>0</v>
      </c>
      <c r="H55" s="341">
        <f>'Final OAP'!M55+'Final OAP'!Q55+'Final OAP'!T55-'Final OAP'!W55</f>
        <v>0</v>
      </c>
      <c r="I55" s="341">
        <f t="shared" si="16"/>
        <v>0</v>
      </c>
      <c r="J55" s="309" t="s">
        <v>59</v>
      </c>
      <c r="K55" s="360"/>
      <c r="L55" s="368"/>
      <c r="M55" s="344">
        <f t="shared" si="17"/>
        <v>0</v>
      </c>
      <c r="N55" s="346"/>
      <c r="O55" s="343">
        <f t="shared" si="18"/>
        <v>0</v>
      </c>
      <c r="P55" s="345"/>
      <c r="Q55" s="346">
        <f t="shared" si="19"/>
        <v>0</v>
      </c>
      <c r="R55" s="360"/>
      <c r="S55" s="306"/>
      <c r="T55" s="306"/>
      <c r="U55" s="306"/>
      <c r="V55" s="369"/>
      <c r="W55" s="350">
        <f t="shared" si="20"/>
        <v>0</v>
      </c>
      <c r="X55" s="368"/>
      <c r="Y55" s="368"/>
      <c r="Z55" s="351">
        <f t="shared" si="21"/>
        <v>0</v>
      </c>
      <c r="AA55" s="368"/>
      <c r="AB55" s="369"/>
      <c r="AC55" s="353">
        <f t="shared" si="22"/>
        <v>0</v>
      </c>
      <c r="AD55" s="354"/>
    </row>
    <row r="56" spans="1:30" s="322" customFormat="1" ht="121.5" customHeight="1" x14ac:dyDescent="0.25">
      <c r="A56" s="338" t="s">
        <v>587</v>
      </c>
      <c r="B56" s="323">
        <v>2203018</v>
      </c>
      <c r="C56" s="324" t="s">
        <v>470</v>
      </c>
      <c r="D56" s="380" t="s">
        <v>71</v>
      </c>
      <c r="E56" s="377" t="s">
        <v>72</v>
      </c>
      <c r="F56" s="341">
        <f>'Final OAP'!K56+'Final OAP'!O56+'Final OAP'!R56-'Final OAP'!U56</f>
        <v>0</v>
      </c>
      <c r="G56" s="341">
        <f>'Final OAP'!L56+'Final OAP'!P56+'Final OAP'!S56-'Final OAP'!V56</f>
        <v>0</v>
      </c>
      <c r="H56" s="341">
        <f>'Final OAP'!M56+'Final OAP'!Q56+'Final OAP'!T56-'Final OAP'!W56</f>
        <v>0</v>
      </c>
      <c r="I56" s="341">
        <f t="shared" si="16"/>
        <v>0</v>
      </c>
      <c r="J56" s="309" t="s">
        <v>59</v>
      </c>
      <c r="K56" s="360"/>
      <c r="L56" s="368"/>
      <c r="M56" s="344">
        <f t="shared" si="17"/>
        <v>0</v>
      </c>
      <c r="N56" s="346"/>
      <c r="O56" s="343">
        <f t="shared" si="18"/>
        <v>0</v>
      </c>
      <c r="P56" s="345"/>
      <c r="Q56" s="346">
        <f t="shared" si="19"/>
        <v>0</v>
      </c>
      <c r="R56" s="360"/>
      <c r="S56" s="306"/>
      <c r="T56" s="306"/>
      <c r="U56" s="306"/>
      <c r="V56" s="369"/>
      <c r="W56" s="350">
        <f t="shared" si="20"/>
        <v>0</v>
      </c>
      <c r="X56" s="368"/>
      <c r="Y56" s="368"/>
      <c r="Z56" s="351">
        <f t="shared" si="21"/>
        <v>0</v>
      </c>
      <c r="AA56" s="368"/>
      <c r="AB56" s="369"/>
      <c r="AC56" s="353">
        <f t="shared" si="22"/>
        <v>0</v>
      </c>
      <c r="AD56" s="354"/>
    </row>
    <row r="57" spans="1:30" ht="81" customHeight="1" x14ac:dyDescent="0.3">
      <c r="A57" s="338" t="s">
        <v>621</v>
      </c>
      <c r="B57" s="323">
        <v>2203018</v>
      </c>
      <c r="C57" s="324" t="s">
        <v>470</v>
      </c>
      <c r="D57" s="381" t="s">
        <v>64</v>
      </c>
      <c r="E57" s="377" t="s">
        <v>88</v>
      </c>
      <c r="F57" s="341">
        <f>'Final OAP'!K57+'Final OAP'!O57+'Final OAP'!R57-'Final OAP'!U57</f>
        <v>32279718</v>
      </c>
      <c r="G57" s="341">
        <f>'Final OAP'!L57+'Final OAP'!P57+'Final OAP'!S57-'Final OAP'!V57</f>
        <v>15000000</v>
      </c>
      <c r="H57" s="341">
        <f>'Final OAP'!M57+'Final OAP'!Q57+'Final OAP'!T57-'Final OAP'!W57</f>
        <v>0</v>
      </c>
      <c r="I57" s="341">
        <f t="shared" si="16"/>
        <v>47279718</v>
      </c>
      <c r="J57" s="309" t="s">
        <v>59</v>
      </c>
      <c r="K57" s="360">
        <v>33919</v>
      </c>
      <c r="L57" s="535">
        <v>32279718</v>
      </c>
      <c r="M57" s="344">
        <f t="shared" si="17"/>
        <v>0</v>
      </c>
      <c r="N57" s="346">
        <v>13330236</v>
      </c>
      <c r="O57" s="551">
        <f t="shared" si="18"/>
        <v>1669764</v>
      </c>
      <c r="P57" s="345"/>
      <c r="Q57" s="346">
        <f t="shared" si="19"/>
        <v>0</v>
      </c>
      <c r="R57" s="360">
        <v>57919</v>
      </c>
      <c r="S57" s="361">
        <v>43818</v>
      </c>
      <c r="T57" s="306" t="s">
        <v>1203</v>
      </c>
      <c r="U57" s="306" t="s">
        <v>1204</v>
      </c>
      <c r="V57" s="369">
        <v>32279718</v>
      </c>
      <c r="W57" s="350">
        <f t="shared" si="20"/>
        <v>0</v>
      </c>
      <c r="X57" s="368"/>
      <c r="Y57" s="368">
        <v>8669136</v>
      </c>
      <c r="Z57" s="351">
        <f t="shared" si="21"/>
        <v>6330864</v>
      </c>
      <c r="AA57" s="368"/>
      <c r="AB57" s="369"/>
      <c r="AC57" s="353">
        <f t="shared" si="22"/>
        <v>0</v>
      </c>
      <c r="AD57" s="354"/>
    </row>
    <row r="58" spans="1:30" ht="81" customHeight="1" x14ac:dyDescent="0.3">
      <c r="A58" s="338" t="s">
        <v>587</v>
      </c>
      <c r="B58" s="323">
        <v>2203018</v>
      </c>
      <c r="C58" s="324" t="s">
        <v>470</v>
      </c>
      <c r="D58" s="381" t="s">
        <v>64</v>
      </c>
      <c r="E58" s="377" t="s">
        <v>70</v>
      </c>
      <c r="F58" s="341">
        <f>'Final OAP'!K58+'Final OAP'!O58+'Final OAP'!R58-'Final OAP'!U58</f>
        <v>0</v>
      </c>
      <c r="G58" s="341">
        <f>'Final OAP'!L58+'Final OAP'!P58+'Final OAP'!S58-'Final OAP'!V58</f>
        <v>0</v>
      </c>
      <c r="H58" s="341">
        <f>'Final OAP'!M58+'Final OAP'!Q58+'Final OAP'!T58-'Final OAP'!W58</f>
        <v>0</v>
      </c>
      <c r="I58" s="341">
        <f t="shared" si="16"/>
        <v>0</v>
      </c>
      <c r="J58" s="309" t="s">
        <v>59</v>
      </c>
      <c r="K58" s="360"/>
      <c r="L58" s="368"/>
      <c r="M58" s="344">
        <f t="shared" si="17"/>
        <v>0</v>
      </c>
      <c r="N58" s="346"/>
      <c r="O58" s="343">
        <f t="shared" si="18"/>
        <v>0</v>
      </c>
      <c r="P58" s="345"/>
      <c r="Q58" s="346">
        <f t="shared" si="19"/>
        <v>0</v>
      </c>
      <c r="R58" s="360"/>
      <c r="S58" s="361"/>
      <c r="T58" s="306"/>
      <c r="U58" s="306"/>
      <c r="V58" s="369"/>
      <c r="W58" s="350">
        <f t="shared" si="20"/>
        <v>0</v>
      </c>
      <c r="X58" s="368"/>
      <c r="Y58" s="368"/>
      <c r="Z58" s="351">
        <f t="shared" si="21"/>
        <v>0</v>
      </c>
      <c r="AA58" s="368"/>
      <c r="AB58" s="369"/>
      <c r="AC58" s="353">
        <f t="shared" si="22"/>
        <v>0</v>
      </c>
      <c r="AD58" s="354"/>
    </row>
    <row r="59" spans="1:30" s="322" customFormat="1" ht="81" customHeight="1" x14ac:dyDescent="0.25">
      <c r="A59" s="338" t="s">
        <v>599</v>
      </c>
      <c r="B59" s="323">
        <v>2203018</v>
      </c>
      <c r="C59" s="324" t="s">
        <v>470</v>
      </c>
      <c r="D59" s="381" t="s">
        <v>64</v>
      </c>
      <c r="E59" s="373" t="s">
        <v>67</v>
      </c>
      <c r="F59" s="341">
        <f>'Final OAP'!K59+'Final OAP'!O59+'Final OAP'!R59-'Final OAP'!U59</f>
        <v>0</v>
      </c>
      <c r="G59" s="341">
        <f>'Final OAP'!L59+'Final OAP'!P59+'Final OAP'!S59-'Final OAP'!V59</f>
        <v>0</v>
      </c>
      <c r="H59" s="341">
        <f>'Final OAP'!M59+'Final OAP'!Q59+'Final OAP'!T59-'Final OAP'!W59</f>
        <v>0</v>
      </c>
      <c r="I59" s="341">
        <f t="shared" si="16"/>
        <v>0</v>
      </c>
      <c r="J59" s="309" t="s">
        <v>59</v>
      </c>
      <c r="K59" s="360"/>
      <c r="L59" s="368"/>
      <c r="M59" s="344">
        <f t="shared" si="17"/>
        <v>0</v>
      </c>
      <c r="N59" s="346"/>
      <c r="O59" s="343">
        <f t="shared" si="18"/>
        <v>0</v>
      </c>
      <c r="P59" s="345"/>
      <c r="Q59" s="346">
        <f t="shared" si="19"/>
        <v>0</v>
      </c>
      <c r="R59" s="360"/>
      <c r="S59" s="361"/>
      <c r="T59" s="306"/>
      <c r="U59" s="306"/>
      <c r="V59" s="369"/>
      <c r="W59" s="350">
        <f t="shared" si="20"/>
        <v>0</v>
      </c>
      <c r="X59" s="368"/>
      <c r="Y59" s="368"/>
      <c r="Z59" s="556">
        <f t="shared" si="21"/>
        <v>0</v>
      </c>
      <c r="AA59" s="368"/>
      <c r="AB59" s="369"/>
      <c r="AC59" s="353">
        <f t="shared" si="22"/>
        <v>0</v>
      </c>
      <c r="AD59" s="354"/>
    </row>
    <row r="60" spans="1:30" s="322" customFormat="1" ht="121.5" customHeight="1" x14ac:dyDescent="0.25">
      <c r="A60" s="338" t="s">
        <v>587</v>
      </c>
      <c r="B60" s="323">
        <v>2203018</v>
      </c>
      <c r="C60" s="324" t="s">
        <v>470</v>
      </c>
      <c r="D60" s="381" t="s">
        <v>64</v>
      </c>
      <c r="E60" s="377" t="s">
        <v>69</v>
      </c>
      <c r="F60" s="341">
        <f>'Final OAP'!K60+'Final OAP'!O60+'Final OAP'!R60-'Final OAP'!U60</f>
        <v>36187250</v>
      </c>
      <c r="G60" s="341">
        <f>'Final OAP'!L60+'Final OAP'!P60+'Final OAP'!S60-'Final OAP'!V60</f>
        <v>0</v>
      </c>
      <c r="H60" s="341">
        <f>'Final OAP'!M60+'Final OAP'!Q60+'Final OAP'!T60-'Final OAP'!W60</f>
        <v>0</v>
      </c>
      <c r="I60" s="341">
        <f t="shared" si="16"/>
        <v>36187250</v>
      </c>
      <c r="J60" s="309" t="s">
        <v>59</v>
      </c>
      <c r="K60" s="360">
        <v>2119</v>
      </c>
      <c r="L60" s="368">
        <v>36187250</v>
      </c>
      <c r="M60" s="344">
        <f t="shared" si="17"/>
        <v>0</v>
      </c>
      <c r="N60" s="375"/>
      <c r="O60" s="343">
        <f t="shared" si="18"/>
        <v>0</v>
      </c>
      <c r="P60" s="345"/>
      <c r="Q60" s="346">
        <f t="shared" si="19"/>
        <v>0</v>
      </c>
      <c r="R60" s="360">
        <v>2819</v>
      </c>
      <c r="S60" s="361">
        <v>43490</v>
      </c>
      <c r="T60" s="306" t="s">
        <v>541</v>
      </c>
      <c r="U60" s="306" t="s">
        <v>542</v>
      </c>
      <c r="V60" s="368">
        <v>36187250</v>
      </c>
      <c r="W60" s="350">
        <f t="shared" si="20"/>
        <v>0</v>
      </c>
      <c r="X60" s="368">
        <f>13159000+3289750+3289750+3289750+3289750+3289750+3289750+3289750</f>
        <v>36187250</v>
      </c>
      <c r="Y60" s="368"/>
      <c r="Z60" s="351">
        <f t="shared" si="21"/>
        <v>0</v>
      </c>
      <c r="AA60" s="368"/>
      <c r="AB60" s="369"/>
      <c r="AC60" s="353">
        <f t="shared" si="22"/>
        <v>0</v>
      </c>
      <c r="AD60" s="354"/>
    </row>
    <row r="61" spans="1:30" s="322" customFormat="1" ht="81" customHeight="1" x14ac:dyDescent="0.25">
      <c r="A61" s="338" t="s">
        <v>587</v>
      </c>
      <c r="B61" s="323">
        <v>2203018</v>
      </c>
      <c r="C61" s="324" t="s">
        <v>470</v>
      </c>
      <c r="D61" s="381" t="s">
        <v>64</v>
      </c>
      <c r="E61" s="377" t="s">
        <v>515</v>
      </c>
      <c r="F61" s="341">
        <f>'Final OAP'!K61+'Final OAP'!O61+'Final OAP'!R61-'Final OAP'!U61</f>
        <v>19506322</v>
      </c>
      <c r="G61" s="341">
        <f>'Final OAP'!L61+'Final OAP'!P61+'Final OAP'!S61-'Final OAP'!V61</f>
        <v>0</v>
      </c>
      <c r="H61" s="341">
        <f>'Final OAP'!M61+'Final OAP'!Q61+'Final OAP'!T61-'Final OAP'!W61</f>
        <v>0</v>
      </c>
      <c r="I61" s="341">
        <f t="shared" si="16"/>
        <v>19506322</v>
      </c>
      <c r="J61" s="309" t="s">
        <v>59</v>
      </c>
      <c r="K61" s="360">
        <v>2619</v>
      </c>
      <c r="L61" s="368">
        <v>19506300</v>
      </c>
      <c r="M61" s="550">
        <f t="shared" si="17"/>
        <v>22</v>
      </c>
      <c r="N61" s="375"/>
      <c r="O61" s="343">
        <f t="shared" si="18"/>
        <v>0</v>
      </c>
      <c r="P61" s="345"/>
      <c r="Q61" s="346">
        <f t="shared" si="19"/>
        <v>0</v>
      </c>
      <c r="R61" s="360">
        <v>3019</v>
      </c>
      <c r="S61" s="361">
        <v>43493</v>
      </c>
      <c r="T61" s="306" t="s">
        <v>548</v>
      </c>
      <c r="U61" s="306" t="s">
        <v>549</v>
      </c>
      <c r="V61" s="368">
        <v>19506300</v>
      </c>
      <c r="W61" s="555">
        <f t="shared" si="20"/>
        <v>22</v>
      </c>
      <c r="X61" s="368">
        <f>7093200+1773300+1773300+1773300+1773300+1773300+1773300+1773300</f>
        <v>19506300</v>
      </c>
      <c r="Y61" s="368"/>
      <c r="Z61" s="351">
        <f t="shared" si="21"/>
        <v>0</v>
      </c>
      <c r="AA61" s="368"/>
      <c r="AB61" s="369"/>
      <c r="AC61" s="353">
        <f t="shared" si="22"/>
        <v>0</v>
      </c>
      <c r="AD61" s="354"/>
    </row>
    <row r="62" spans="1:30" s="322" customFormat="1" ht="81" customHeight="1" x14ac:dyDescent="0.25">
      <c r="A62" s="338" t="s">
        <v>587</v>
      </c>
      <c r="B62" s="323">
        <v>2203018</v>
      </c>
      <c r="C62" s="324" t="s">
        <v>470</v>
      </c>
      <c r="D62" s="381" t="s">
        <v>64</v>
      </c>
      <c r="E62" s="377" t="s">
        <v>514</v>
      </c>
      <c r="F62" s="341">
        <f>'Final OAP'!K62+'Final OAP'!O62+'Final OAP'!R62-'Final OAP'!U62</f>
        <v>19506322</v>
      </c>
      <c r="G62" s="341">
        <f>'Final OAP'!L62+'Final OAP'!P62+'Final OAP'!S62-'Final OAP'!V62</f>
        <v>0</v>
      </c>
      <c r="H62" s="341">
        <f>'Final OAP'!M62+'Final OAP'!Q62+'Final OAP'!T62-'Final OAP'!W62</f>
        <v>0</v>
      </c>
      <c r="I62" s="341">
        <f t="shared" si="16"/>
        <v>19506322</v>
      </c>
      <c r="J62" s="309" t="s">
        <v>59</v>
      </c>
      <c r="K62" s="360">
        <v>2519</v>
      </c>
      <c r="L62" s="368">
        <v>19506300</v>
      </c>
      <c r="M62" s="550">
        <f t="shared" si="17"/>
        <v>22</v>
      </c>
      <c r="N62" s="375"/>
      <c r="O62" s="343">
        <f t="shared" si="18"/>
        <v>0</v>
      </c>
      <c r="P62" s="345"/>
      <c r="Q62" s="346">
        <f t="shared" si="19"/>
        <v>0</v>
      </c>
      <c r="R62" s="360">
        <v>3119</v>
      </c>
      <c r="S62" s="361">
        <v>43493</v>
      </c>
      <c r="T62" s="306" t="s">
        <v>550</v>
      </c>
      <c r="U62" s="306" t="s">
        <v>551</v>
      </c>
      <c r="V62" s="368">
        <v>19506300</v>
      </c>
      <c r="W62" s="555">
        <f t="shared" si="20"/>
        <v>22</v>
      </c>
      <c r="X62" s="368">
        <f>7093200+1773300+1773300+1773300+1773300+1773300+1773300+1773300</f>
        <v>19506300</v>
      </c>
      <c r="Y62" s="368"/>
      <c r="Z62" s="351">
        <f t="shared" si="21"/>
        <v>0</v>
      </c>
      <c r="AA62" s="368"/>
      <c r="AB62" s="369"/>
      <c r="AC62" s="353">
        <f t="shared" si="22"/>
        <v>0</v>
      </c>
      <c r="AD62" s="354"/>
    </row>
    <row r="63" spans="1:30" ht="121.5" customHeight="1" x14ac:dyDescent="0.3">
      <c r="A63" s="382" t="s">
        <v>617</v>
      </c>
      <c r="B63" s="323">
        <v>2203018</v>
      </c>
      <c r="C63" s="324" t="s">
        <v>470</v>
      </c>
      <c r="D63" s="383" t="s">
        <v>76</v>
      </c>
      <c r="E63" s="482" t="s">
        <v>83</v>
      </c>
      <c r="F63" s="341">
        <f>'Final OAP'!K63+'Final OAP'!O63+'Final OAP'!R63-'Final OAP'!U63</f>
        <v>212008428</v>
      </c>
      <c r="G63" s="341">
        <f>'Final OAP'!L63+'Final OAP'!P63+'Final OAP'!S63-'Final OAP'!V63</f>
        <v>31194624</v>
      </c>
      <c r="H63" s="341">
        <f>'Final OAP'!M63+'Final OAP'!Q63+'Final OAP'!T63-'Final OAP'!W63</f>
        <v>0</v>
      </c>
      <c r="I63" s="341">
        <f t="shared" si="16"/>
        <v>243203052</v>
      </c>
      <c r="J63" s="309" t="s">
        <v>59</v>
      </c>
      <c r="K63" s="356" t="s">
        <v>1211</v>
      </c>
      <c r="L63" s="368">
        <f>209999447-19012447+14383000+6638428</f>
        <v>212008428</v>
      </c>
      <c r="M63" s="550">
        <f t="shared" si="17"/>
        <v>0</v>
      </c>
      <c r="N63" s="346">
        <v>31191572</v>
      </c>
      <c r="O63" s="343">
        <f t="shared" si="18"/>
        <v>3052</v>
      </c>
      <c r="P63" s="345"/>
      <c r="Q63" s="346">
        <f t="shared" si="19"/>
        <v>0</v>
      </c>
      <c r="R63" s="356" t="s">
        <v>1106</v>
      </c>
      <c r="S63" s="356" t="s">
        <v>1107</v>
      </c>
      <c r="T63" s="356" t="s">
        <v>1109</v>
      </c>
      <c r="U63" s="356" t="s">
        <v>1108</v>
      </c>
      <c r="V63" s="369">
        <f>115294000+75693000</f>
        <v>190987000</v>
      </c>
      <c r="W63" s="555">
        <f t="shared" si="20"/>
        <v>21021428</v>
      </c>
      <c r="X63" s="368"/>
      <c r="Y63" s="368"/>
      <c r="Z63" s="351">
        <f t="shared" si="21"/>
        <v>31194624</v>
      </c>
      <c r="AA63" s="368"/>
      <c r="AB63" s="369"/>
      <c r="AC63" s="353">
        <f t="shared" si="22"/>
        <v>0</v>
      </c>
      <c r="AD63" s="354"/>
    </row>
    <row r="64" spans="1:30" ht="127.5" customHeight="1" x14ac:dyDescent="0.3">
      <c r="A64" s="384" t="s">
        <v>628</v>
      </c>
      <c r="B64" s="323">
        <v>2203018</v>
      </c>
      <c r="C64" s="324" t="s">
        <v>470</v>
      </c>
      <c r="D64" s="385" t="s">
        <v>75</v>
      </c>
      <c r="E64" s="306" t="s">
        <v>80</v>
      </c>
      <c r="F64" s="341">
        <f>'Final OAP'!K64+'Final OAP'!O64+'Final OAP'!R64-'Final OAP'!U64</f>
        <v>29998283</v>
      </c>
      <c r="G64" s="341">
        <f>'Final OAP'!L64+'Final OAP'!P64+'Final OAP'!S64-'Final OAP'!V64</f>
        <v>359688</v>
      </c>
      <c r="H64" s="341">
        <f>'Final OAP'!M64+'Final OAP'!Q64+'Final OAP'!T64-'Final OAP'!W64</f>
        <v>0</v>
      </c>
      <c r="I64" s="341">
        <f t="shared" si="16"/>
        <v>30357971</v>
      </c>
      <c r="J64" s="309" t="s">
        <v>59</v>
      </c>
      <c r="K64" s="386" t="s">
        <v>956</v>
      </c>
      <c r="L64" s="368">
        <f>7015649+22190338-83899+877912-1717</f>
        <v>29998283</v>
      </c>
      <c r="M64" s="550">
        <f t="shared" si="17"/>
        <v>0</v>
      </c>
      <c r="N64" s="346">
        <f>432278-72590</f>
        <v>359688</v>
      </c>
      <c r="O64" s="343">
        <f t="shared" si="18"/>
        <v>0</v>
      </c>
      <c r="P64" s="345"/>
      <c r="Q64" s="346">
        <f t="shared" si="19"/>
        <v>0</v>
      </c>
      <c r="R64" s="386" t="s">
        <v>1021</v>
      </c>
      <c r="S64" s="361" t="s">
        <v>1022</v>
      </c>
      <c r="T64" s="356" t="s">
        <v>1023</v>
      </c>
      <c r="U64" s="306" t="s">
        <v>1024</v>
      </c>
      <c r="V64" s="369">
        <f>22188621+6931750+877912</f>
        <v>29998283</v>
      </c>
      <c r="W64" s="350">
        <f t="shared" si="20"/>
        <v>0</v>
      </c>
      <c r="X64" s="368">
        <f>6931750+877912+22188621</f>
        <v>29998283</v>
      </c>
      <c r="Y64" s="368">
        <v>359688</v>
      </c>
      <c r="Z64" s="556">
        <f t="shared" si="21"/>
        <v>0</v>
      </c>
      <c r="AA64" s="368">
        <v>359688</v>
      </c>
      <c r="AB64" s="369"/>
      <c r="AC64" s="353">
        <f t="shared" si="22"/>
        <v>0</v>
      </c>
      <c r="AD64" s="354"/>
    </row>
    <row r="65" spans="1:30" ht="81" customHeight="1" x14ac:dyDescent="0.3">
      <c r="A65" s="338" t="s">
        <v>618</v>
      </c>
      <c r="B65" s="323">
        <v>2203018</v>
      </c>
      <c r="C65" s="324" t="s">
        <v>470</v>
      </c>
      <c r="D65" s="385" t="s">
        <v>75</v>
      </c>
      <c r="E65" s="306" t="s">
        <v>78</v>
      </c>
      <c r="F65" s="341">
        <f>'Final OAP'!K65+'Final OAP'!O65+'Final OAP'!R65-'Final OAP'!U65</f>
        <v>214200000</v>
      </c>
      <c r="G65" s="341">
        <f>'Final OAP'!L65+'Final OAP'!P65+'Final OAP'!S65-'Final OAP'!V65</f>
        <v>0</v>
      </c>
      <c r="H65" s="341">
        <f>'Final OAP'!M65+'Final OAP'!Q65+'Final OAP'!T65-'Final OAP'!W65</f>
        <v>0</v>
      </c>
      <c r="I65" s="341">
        <f t="shared" si="16"/>
        <v>214200000</v>
      </c>
      <c r="J65" s="309" t="s">
        <v>59</v>
      </c>
      <c r="K65" s="360" t="s">
        <v>1124</v>
      </c>
      <c r="L65" s="387">
        <f>54200000+159999350</f>
        <v>214199350</v>
      </c>
      <c r="M65" s="550">
        <f t="shared" si="17"/>
        <v>650</v>
      </c>
      <c r="N65" s="346"/>
      <c r="O65" s="343">
        <f t="shared" si="18"/>
        <v>0</v>
      </c>
      <c r="P65" s="345"/>
      <c r="Q65" s="346">
        <f t="shared" si="19"/>
        <v>0</v>
      </c>
      <c r="R65" s="360" t="s">
        <v>1192</v>
      </c>
      <c r="S65" s="361" t="s">
        <v>1193</v>
      </c>
      <c r="T65" s="306" t="s">
        <v>1194</v>
      </c>
      <c r="U65" s="306" t="s">
        <v>1195</v>
      </c>
      <c r="V65" s="369">
        <f>54200000+159999350</f>
        <v>214199350</v>
      </c>
      <c r="W65" s="350">
        <f t="shared" si="20"/>
        <v>650</v>
      </c>
      <c r="X65" s="387">
        <v>54200000</v>
      </c>
      <c r="Y65" s="368"/>
      <c r="Z65" s="351">
        <f t="shared" si="21"/>
        <v>0</v>
      </c>
      <c r="AA65" s="387"/>
      <c r="AB65" s="369"/>
      <c r="AC65" s="353">
        <f t="shared" si="22"/>
        <v>0</v>
      </c>
      <c r="AD65" s="354"/>
    </row>
    <row r="66" spans="1:30" ht="123" customHeight="1" x14ac:dyDescent="0.3">
      <c r="A66" s="338" t="s">
        <v>619</v>
      </c>
      <c r="B66" s="323">
        <v>2203018</v>
      </c>
      <c r="C66" s="324" t="s">
        <v>470</v>
      </c>
      <c r="D66" s="385" t="s">
        <v>75</v>
      </c>
      <c r="E66" s="306" t="s">
        <v>81</v>
      </c>
      <c r="F66" s="341">
        <f>'Final OAP'!K66+'Final OAP'!O66+'Final OAP'!R66-'Final OAP'!U66</f>
        <v>32662438</v>
      </c>
      <c r="G66" s="341">
        <f>'Final OAP'!L66+'Final OAP'!P66+'Final OAP'!S66-'Final OAP'!V66</f>
        <v>12427783</v>
      </c>
      <c r="H66" s="341">
        <f>'Final OAP'!M66+'Final OAP'!Q66+'Final OAP'!T66-'Final OAP'!W66</f>
        <v>0</v>
      </c>
      <c r="I66" s="341">
        <f t="shared" si="16"/>
        <v>45090221</v>
      </c>
      <c r="J66" s="309" t="s">
        <v>59</v>
      </c>
      <c r="K66" s="386">
        <v>34319</v>
      </c>
      <c r="L66" s="368">
        <v>32662438</v>
      </c>
      <c r="M66" s="344">
        <f t="shared" si="17"/>
        <v>0</v>
      </c>
      <c r="N66" s="346">
        <v>12423945</v>
      </c>
      <c r="O66" s="343">
        <f t="shared" si="18"/>
        <v>3838</v>
      </c>
      <c r="P66" s="345"/>
      <c r="Q66" s="346">
        <f t="shared" si="19"/>
        <v>0</v>
      </c>
      <c r="R66" s="386">
        <v>58019</v>
      </c>
      <c r="S66" s="361">
        <v>43818</v>
      </c>
      <c r="T66" s="356" t="s">
        <v>1206</v>
      </c>
      <c r="U66" s="306" t="s">
        <v>1205</v>
      </c>
      <c r="V66" s="369">
        <v>32662438</v>
      </c>
      <c r="W66" s="350">
        <f t="shared" si="20"/>
        <v>0</v>
      </c>
      <c r="X66" s="368"/>
      <c r="Y66" s="368">
        <v>11309662</v>
      </c>
      <c r="Z66" s="351">
        <f t="shared" si="21"/>
        <v>1118121</v>
      </c>
      <c r="AA66" s="368"/>
      <c r="AB66" s="369"/>
      <c r="AC66" s="353">
        <f t="shared" si="22"/>
        <v>0</v>
      </c>
      <c r="AD66" s="354"/>
    </row>
    <row r="67" spans="1:30" ht="111.75" customHeight="1" x14ac:dyDescent="0.3">
      <c r="A67" s="338" t="s">
        <v>619</v>
      </c>
      <c r="B67" s="323">
        <v>2203018</v>
      </c>
      <c r="C67" s="324" t="s">
        <v>470</v>
      </c>
      <c r="D67" s="385" t="s">
        <v>75</v>
      </c>
      <c r="E67" s="306" t="s">
        <v>963</v>
      </c>
      <c r="F67" s="341">
        <f>'Final OAP'!K67+'Final OAP'!O67+'Final OAP'!R67-'Final OAP'!U67</f>
        <v>17909500</v>
      </c>
      <c r="G67" s="341">
        <f>'Final OAP'!L67+'Final OAP'!P67+'Final OAP'!S67-'Final OAP'!V67</f>
        <v>0</v>
      </c>
      <c r="H67" s="341">
        <f>'Final OAP'!M67+'Final OAP'!Q67+'Final OAP'!T67-'Final OAP'!W67</f>
        <v>0</v>
      </c>
      <c r="I67" s="341">
        <f t="shared" si="16"/>
        <v>17909500</v>
      </c>
      <c r="J67" s="309" t="s">
        <v>59</v>
      </c>
      <c r="K67" s="386">
        <v>28719</v>
      </c>
      <c r="L67" s="368">
        <v>17909500</v>
      </c>
      <c r="M67" s="344">
        <f t="shared" si="17"/>
        <v>0</v>
      </c>
      <c r="N67" s="346"/>
      <c r="O67" s="343"/>
      <c r="P67" s="345"/>
      <c r="Q67" s="346">
        <f t="shared" si="19"/>
        <v>0</v>
      </c>
      <c r="R67" s="386">
        <v>47419</v>
      </c>
      <c r="S67" s="361">
        <v>43742</v>
      </c>
      <c r="T67" s="356" t="s">
        <v>1016</v>
      </c>
      <c r="U67" s="306" t="s">
        <v>1017</v>
      </c>
      <c r="V67" s="369">
        <v>17909500</v>
      </c>
      <c r="W67" s="350">
        <f t="shared" si="20"/>
        <v>0</v>
      </c>
      <c r="X67" s="368">
        <v>17909500</v>
      </c>
      <c r="Y67" s="368"/>
      <c r="Z67" s="351">
        <f t="shared" si="21"/>
        <v>0</v>
      </c>
      <c r="AA67" s="368"/>
      <c r="AB67" s="369"/>
      <c r="AC67" s="353">
        <f t="shared" si="22"/>
        <v>0</v>
      </c>
      <c r="AD67" s="354"/>
    </row>
    <row r="68" spans="1:30" ht="182.25" customHeight="1" x14ac:dyDescent="0.3">
      <c r="A68" s="338" t="s">
        <v>593</v>
      </c>
      <c r="B68" s="323">
        <v>2203018</v>
      </c>
      <c r="C68" s="324" t="s">
        <v>470</v>
      </c>
      <c r="D68" s="385" t="s">
        <v>75</v>
      </c>
      <c r="E68" s="306" t="s">
        <v>84</v>
      </c>
      <c r="F68" s="341">
        <f>'Final OAP'!K68+'Final OAP'!O68+'Final OAP'!R68-'Final OAP'!U68</f>
        <v>195322413</v>
      </c>
      <c r="G68" s="341">
        <f>'Final OAP'!L68+'Final OAP'!P68+'Final OAP'!S68-'Final OAP'!V68</f>
        <v>0</v>
      </c>
      <c r="H68" s="341">
        <f>'Final OAP'!M68+'Final OAP'!Q68+'Final OAP'!T68-'Final OAP'!W68</f>
        <v>0</v>
      </c>
      <c r="I68" s="341">
        <f t="shared" si="16"/>
        <v>195322413</v>
      </c>
      <c r="J68" s="309" t="s">
        <v>59</v>
      </c>
      <c r="K68" s="356" t="s">
        <v>1210</v>
      </c>
      <c r="L68" s="387">
        <f>12720000+22333326+150422134-4836668+14683621</f>
        <v>195322413</v>
      </c>
      <c r="M68" s="550">
        <f t="shared" si="17"/>
        <v>0</v>
      </c>
      <c r="N68" s="346"/>
      <c r="O68" s="343">
        <f t="shared" ref="O68:O86" si="23">+G68-N68</f>
        <v>0</v>
      </c>
      <c r="P68" s="345"/>
      <c r="Q68" s="346">
        <f t="shared" si="19"/>
        <v>0</v>
      </c>
      <c r="R68" s="356" t="s">
        <v>973</v>
      </c>
      <c r="S68" s="356" t="s">
        <v>974</v>
      </c>
      <c r="T68" s="356" t="s">
        <v>975</v>
      </c>
      <c r="U68" s="356" t="s">
        <v>976</v>
      </c>
      <c r="V68" s="369">
        <f>12720000+17496658+150422134</f>
        <v>180638792</v>
      </c>
      <c r="W68" s="555">
        <f t="shared" si="20"/>
        <v>14683621</v>
      </c>
      <c r="X68" s="387">
        <f>4240000+4240000+6000000+44472977.5+44159710+4557118.27+19126571+4240000+5490000+5496658+766813</f>
        <v>142789847.76999998</v>
      </c>
      <c r="Y68" s="368"/>
      <c r="Z68" s="351">
        <f t="shared" si="21"/>
        <v>0</v>
      </c>
      <c r="AA68" s="387"/>
      <c r="AB68" s="369"/>
      <c r="AC68" s="353">
        <f t="shared" si="22"/>
        <v>0</v>
      </c>
      <c r="AD68" s="354"/>
    </row>
    <row r="69" spans="1:30" ht="81" customHeight="1" x14ac:dyDescent="0.3">
      <c r="A69" s="338" t="s">
        <v>587</v>
      </c>
      <c r="B69" s="323">
        <v>2203018</v>
      </c>
      <c r="C69" s="324" t="s">
        <v>470</v>
      </c>
      <c r="D69" s="385" t="s">
        <v>75</v>
      </c>
      <c r="E69" s="306" t="s">
        <v>325</v>
      </c>
      <c r="F69" s="341">
        <f>'Final OAP'!K69+'Final OAP'!O69+'Final OAP'!R69-'Final OAP'!U69</f>
        <v>27680000</v>
      </c>
      <c r="G69" s="341">
        <f>'Final OAP'!L69+'Final OAP'!P69+'Final OAP'!S69-'Final OAP'!V69</f>
        <v>0</v>
      </c>
      <c r="H69" s="341">
        <f>'Final OAP'!M69+'Final OAP'!Q69+'Final OAP'!T69-'Final OAP'!W69</f>
        <v>0</v>
      </c>
      <c r="I69" s="341">
        <f t="shared" si="16"/>
        <v>27680000</v>
      </c>
      <c r="J69" s="309" t="s">
        <v>59</v>
      </c>
      <c r="K69" s="356" t="s">
        <v>508</v>
      </c>
      <c r="L69" s="368">
        <v>27680000</v>
      </c>
      <c r="M69" s="344">
        <f t="shared" si="17"/>
        <v>0</v>
      </c>
      <c r="N69" s="375"/>
      <c r="O69" s="343">
        <f t="shared" si="23"/>
        <v>0</v>
      </c>
      <c r="P69" s="345"/>
      <c r="Q69" s="346">
        <f t="shared" si="19"/>
        <v>0</v>
      </c>
      <c r="R69" s="356" t="s">
        <v>531</v>
      </c>
      <c r="S69" s="361">
        <v>43486</v>
      </c>
      <c r="T69" s="306" t="s">
        <v>530</v>
      </c>
      <c r="U69" s="356" t="s">
        <v>532</v>
      </c>
      <c r="V69" s="368">
        <v>27680000</v>
      </c>
      <c r="W69" s="350">
        <f t="shared" si="20"/>
        <v>0</v>
      </c>
      <c r="X69" s="368">
        <f>9600000+2400000+2400000+2400000+2400000+2400000+2400000+2400000+1280000</f>
        <v>27680000</v>
      </c>
      <c r="Y69" s="368"/>
      <c r="Z69" s="351">
        <f t="shared" si="21"/>
        <v>0</v>
      </c>
      <c r="AA69" s="368"/>
      <c r="AB69" s="368"/>
      <c r="AC69" s="353">
        <f t="shared" si="22"/>
        <v>0</v>
      </c>
      <c r="AD69" s="354"/>
    </row>
    <row r="70" spans="1:30" ht="81" customHeight="1" x14ac:dyDescent="0.3">
      <c r="A70" s="338" t="s">
        <v>587</v>
      </c>
      <c r="B70" s="323">
        <v>2203018</v>
      </c>
      <c r="C70" s="324" t="s">
        <v>470</v>
      </c>
      <c r="D70" s="385" t="s">
        <v>75</v>
      </c>
      <c r="E70" s="306" t="s">
        <v>324</v>
      </c>
      <c r="F70" s="341">
        <f>'Final OAP'!K70+'Final OAP'!O70+'Final OAP'!R70-'Final OAP'!U70</f>
        <v>27680000</v>
      </c>
      <c r="G70" s="341">
        <f>'Final OAP'!L70+'Final OAP'!P70+'Final OAP'!S70-'Final OAP'!V70</f>
        <v>0</v>
      </c>
      <c r="H70" s="341">
        <f>'Final OAP'!M70+'Final OAP'!Q70+'Final OAP'!T70-'Final OAP'!W70</f>
        <v>0</v>
      </c>
      <c r="I70" s="341">
        <f t="shared" si="16"/>
        <v>27680000</v>
      </c>
      <c r="J70" s="309" t="s">
        <v>59</v>
      </c>
      <c r="K70" s="356" t="s">
        <v>516</v>
      </c>
      <c r="L70" s="368">
        <v>27680000</v>
      </c>
      <c r="M70" s="344">
        <f t="shared" si="17"/>
        <v>0</v>
      </c>
      <c r="N70" s="375"/>
      <c r="O70" s="343">
        <f t="shared" si="23"/>
        <v>0</v>
      </c>
      <c r="P70" s="345"/>
      <c r="Q70" s="346">
        <f t="shared" si="19"/>
        <v>0</v>
      </c>
      <c r="R70" s="356" t="s">
        <v>528</v>
      </c>
      <c r="S70" s="361">
        <v>43486</v>
      </c>
      <c r="T70" s="306" t="s">
        <v>529</v>
      </c>
      <c r="U70" s="356" t="s">
        <v>533</v>
      </c>
      <c r="V70" s="368">
        <v>27680000</v>
      </c>
      <c r="W70" s="350">
        <f t="shared" si="20"/>
        <v>0</v>
      </c>
      <c r="X70" s="368">
        <f>9600000+2400000+2400000+2400000+2400000+2400000+2400000+2400000+1280000</f>
        <v>27680000</v>
      </c>
      <c r="Y70" s="368"/>
      <c r="Z70" s="351">
        <f t="shared" si="21"/>
        <v>0</v>
      </c>
      <c r="AA70" s="368"/>
      <c r="AB70" s="368"/>
      <c r="AC70" s="353">
        <f t="shared" si="22"/>
        <v>0</v>
      </c>
      <c r="AD70" s="354"/>
    </row>
    <row r="71" spans="1:30" ht="202.5" customHeight="1" x14ac:dyDescent="0.3">
      <c r="A71" s="338" t="s">
        <v>587</v>
      </c>
      <c r="B71" s="323">
        <v>2203018</v>
      </c>
      <c r="C71" s="324" t="s">
        <v>470</v>
      </c>
      <c r="D71" s="385" t="s">
        <v>75</v>
      </c>
      <c r="E71" s="306" t="s">
        <v>85</v>
      </c>
      <c r="F71" s="341">
        <f>'Final OAP'!K71+'Final OAP'!O71+'Final OAP'!R71-'Final OAP'!U71</f>
        <v>13006800</v>
      </c>
      <c r="G71" s="341">
        <f>'Final OAP'!L71+'Final OAP'!P71+'Final OAP'!S71-'Final OAP'!V71</f>
        <v>0</v>
      </c>
      <c r="H71" s="341">
        <f>'Final OAP'!M71+'Final OAP'!Q71+'Final OAP'!T71-'Final OAP'!W71</f>
        <v>0</v>
      </c>
      <c r="I71" s="341">
        <f t="shared" si="16"/>
        <v>13006800</v>
      </c>
      <c r="J71" s="309" t="s">
        <v>59</v>
      </c>
      <c r="K71" s="356" t="s">
        <v>944</v>
      </c>
      <c r="L71" s="368">
        <f>1600000+1600000+1600000+1506800+1600000+1600000+1750000+1750000</f>
        <v>13006800</v>
      </c>
      <c r="M71" s="344">
        <f t="shared" si="17"/>
        <v>0</v>
      </c>
      <c r="N71" s="346"/>
      <c r="O71" s="343">
        <f t="shared" si="23"/>
        <v>0</v>
      </c>
      <c r="P71" s="345"/>
      <c r="Q71" s="346">
        <f t="shared" si="19"/>
        <v>0</v>
      </c>
      <c r="R71" s="356" t="s">
        <v>1004</v>
      </c>
      <c r="S71" s="356" t="s">
        <v>1003</v>
      </c>
      <c r="T71" s="356" t="s">
        <v>1005</v>
      </c>
      <c r="U71" s="356" t="s">
        <v>1006</v>
      </c>
      <c r="V71" s="369">
        <f>1600000+1600000+1506800+1600000+1600000+1750000+1750000+1600000</f>
        <v>13006800</v>
      </c>
      <c r="W71" s="350">
        <f t="shared" si="20"/>
        <v>0</v>
      </c>
      <c r="X71" s="368">
        <f>1600000+1750000+1600000+1750000+1600000+1600000+1506800+1600000</f>
        <v>13006800</v>
      </c>
      <c r="Y71" s="368"/>
      <c r="Z71" s="351">
        <f t="shared" si="21"/>
        <v>0</v>
      </c>
      <c r="AA71" s="368"/>
      <c r="AB71" s="369"/>
      <c r="AC71" s="353">
        <f t="shared" si="22"/>
        <v>0</v>
      </c>
      <c r="AD71" s="354"/>
    </row>
    <row r="72" spans="1:30" ht="81" customHeight="1" x14ac:dyDescent="0.3">
      <c r="A72" s="359" t="s">
        <v>587</v>
      </c>
      <c r="B72" s="323">
        <v>2203018</v>
      </c>
      <c r="C72" s="324" t="s">
        <v>470</v>
      </c>
      <c r="D72" s="385" t="s">
        <v>75</v>
      </c>
      <c r="E72" s="373" t="s">
        <v>383</v>
      </c>
      <c r="F72" s="341">
        <f>'Final OAP'!K72+'Final OAP'!O72+'Final OAP'!R72-'Final OAP'!U72</f>
        <v>0</v>
      </c>
      <c r="G72" s="341">
        <f>'Final OAP'!L72+'Final OAP'!P72+'Final OAP'!S72-'Final OAP'!V72</f>
        <v>0</v>
      </c>
      <c r="H72" s="341">
        <f>'Final OAP'!M72+'Final OAP'!Q72+'Final OAP'!T72-'Final OAP'!W72</f>
        <v>0</v>
      </c>
      <c r="I72" s="341">
        <f t="shared" si="16"/>
        <v>0</v>
      </c>
      <c r="J72" s="309" t="s">
        <v>59</v>
      </c>
      <c r="K72" s="306"/>
      <c r="L72" s="368"/>
      <c r="M72" s="344">
        <f t="shared" si="17"/>
        <v>0</v>
      </c>
      <c r="N72" s="346"/>
      <c r="O72" s="343">
        <f t="shared" si="23"/>
        <v>0</v>
      </c>
      <c r="P72" s="345"/>
      <c r="Q72" s="346">
        <f t="shared" si="19"/>
        <v>0</v>
      </c>
      <c r="R72" s="356"/>
      <c r="S72" s="356"/>
      <c r="T72" s="356"/>
      <c r="U72" s="356"/>
      <c r="V72" s="369"/>
      <c r="W72" s="350">
        <f t="shared" si="20"/>
        <v>0</v>
      </c>
      <c r="X72" s="368"/>
      <c r="Y72" s="368"/>
      <c r="Z72" s="351">
        <f t="shared" si="21"/>
        <v>0</v>
      </c>
      <c r="AA72" s="368"/>
      <c r="AB72" s="369"/>
      <c r="AC72" s="353">
        <f t="shared" si="22"/>
        <v>0</v>
      </c>
      <c r="AD72" s="354"/>
    </row>
    <row r="73" spans="1:30" ht="141.75" customHeight="1" x14ac:dyDescent="0.3">
      <c r="A73" s="359"/>
      <c r="B73" s="323">
        <v>2203018</v>
      </c>
      <c r="C73" s="324" t="s">
        <v>470</v>
      </c>
      <c r="D73" s="385" t="s">
        <v>75</v>
      </c>
      <c r="E73" s="373" t="s">
        <v>928</v>
      </c>
      <c r="F73" s="341">
        <f>'Final OAP'!K73+'Final OAP'!O73+'Final OAP'!R73-'Final OAP'!U73</f>
        <v>3667100</v>
      </c>
      <c r="G73" s="341">
        <f>'Final OAP'!L73+'Final OAP'!P73+'Final OAP'!S73-'Final OAP'!V73</f>
        <v>0</v>
      </c>
      <c r="H73" s="341">
        <f>'Final OAP'!M73+'Final OAP'!Q73+'Final OAP'!T73-'Final OAP'!W73</f>
        <v>0</v>
      </c>
      <c r="I73" s="341">
        <f t="shared" ref="I73:I86" si="24">+G73+H73+F73</f>
        <v>3667100</v>
      </c>
      <c r="J73" s="309"/>
      <c r="K73" s="306">
        <v>30819</v>
      </c>
      <c r="L73" s="368">
        <f>3684616-17516</f>
        <v>3667100</v>
      </c>
      <c r="M73" s="344">
        <f t="shared" ref="M73:M86" si="25">F73-L73</f>
        <v>0</v>
      </c>
      <c r="N73" s="346"/>
      <c r="O73" s="343">
        <f t="shared" si="23"/>
        <v>0</v>
      </c>
      <c r="P73" s="345"/>
      <c r="Q73" s="346">
        <f t="shared" ref="Q73:Q86" si="26">H73-P73</f>
        <v>0</v>
      </c>
      <c r="R73" s="356" t="s">
        <v>1065</v>
      </c>
      <c r="S73" s="356" t="s">
        <v>1064</v>
      </c>
      <c r="T73" s="356" t="s">
        <v>1063</v>
      </c>
      <c r="U73" s="356" t="s">
        <v>1062</v>
      </c>
      <c r="V73" s="369">
        <v>3667100</v>
      </c>
      <c r="W73" s="555">
        <f t="shared" ref="W73:W86" si="27">F73-V73</f>
        <v>0</v>
      </c>
      <c r="X73" s="368">
        <v>3667100</v>
      </c>
      <c r="Y73" s="368"/>
      <c r="Z73" s="351">
        <f t="shared" ref="Z73:Z86" si="28">G73-Y73</f>
        <v>0</v>
      </c>
      <c r="AA73" s="368"/>
      <c r="AB73" s="369"/>
      <c r="AC73" s="353">
        <f t="shared" ref="AC73:AC86" si="29">H73-AB73</f>
        <v>0</v>
      </c>
      <c r="AD73" s="354"/>
    </row>
    <row r="74" spans="1:30" ht="227.25" customHeight="1" x14ac:dyDescent="0.3">
      <c r="A74" s="359"/>
      <c r="B74" s="323">
        <v>2203018</v>
      </c>
      <c r="C74" s="324" t="s">
        <v>470</v>
      </c>
      <c r="D74" s="385" t="s">
        <v>75</v>
      </c>
      <c r="E74" s="373" t="s">
        <v>932</v>
      </c>
      <c r="F74" s="341">
        <f>'Final OAP'!K74+'Final OAP'!O74+'Final OAP'!R74-'Final OAP'!U74</f>
        <v>2402480</v>
      </c>
      <c r="G74" s="341">
        <f>'Final OAP'!L74+'Final OAP'!P74+'Final OAP'!S74-'Final OAP'!V74</f>
        <v>1797520</v>
      </c>
      <c r="H74" s="341">
        <f>'Final OAP'!M74+'Final OAP'!Q74+'Final OAP'!T74-'Final OAP'!W74</f>
        <v>0</v>
      </c>
      <c r="I74" s="341">
        <f t="shared" si="24"/>
        <v>4200000</v>
      </c>
      <c r="J74" s="309"/>
      <c r="K74" s="306" t="s">
        <v>943</v>
      </c>
      <c r="L74" s="368">
        <f>2100000+302480</f>
        <v>2402480</v>
      </c>
      <c r="M74" s="344">
        <f t="shared" si="25"/>
        <v>0</v>
      </c>
      <c r="N74" s="346">
        <v>1797520</v>
      </c>
      <c r="O74" s="343">
        <f t="shared" si="23"/>
        <v>0</v>
      </c>
      <c r="P74" s="345"/>
      <c r="Q74" s="346">
        <f t="shared" si="26"/>
        <v>0</v>
      </c>
      <c r="R74" s="356" t="s">
        <v>1008</v>
      </c>
      <c r="S74" s="356" t="s">
        <v>1009</v>
      </c>
      <c r="T74" s="356" t="s">
        <v>1010</v>
      </c>
      <c r="U74" s="356" t="s">
        <v>1007</v>
      </c>
      <c r="V74" s="369">
        <f>302480+2100000</f>
        <v>2402480</v>
      </c>
      <c r="W74" s="350">
        <f t="shared" si="27"/>
        <v>0</v>
      </c>
      <c r="X74" s="368">
        <f>302480+2100000</f>
        <v>2402480</v>
      </c>
      <c r="Y74" s="368">
        <v>1797520</v>
      </c>
      <c r="Z74" s="351">
        <f t="shared" si="28"/>
        <v>0</v>
      </c>
      <c r="AA74" s="368">
        <v>1797520</v>
      </c>
      <c r="AB74" s="369"/>
      <c r="AC74" s="353">
        <f t="shared" si="29"/>
        <v>0</v>
      </c>
      <c r="AD74" s="354"/>
    </row>
    <row r="75" spans="1:30" ht="255" customHeight="1" x14ac:dyDescent="0.3">
      <c r="A75" s="359"/>
      <c r="B75" s="323">
        <v>2203018</v>
      </c>
      <c r="C75" s="324" t="s">
        <v>470</v>
      </c>
      <c r="D75" s="385" t="s">
        <v>75</v>
      </c>
      <c r="E75" s="373" t="s">
        <v>934</v>
      </c>
      <c r="F75" s="341">
        <f>'Final OAP'!K75+'Final OAP'!O75+'Final OAP'!R75-'Final OAP'!U75</f>
        <v>0</v>
      </c>
      <c r="G75" s="341">
        <f>'Final OAP'!L75+'Final OAP'!P75+'Final OAP'!S75-'Final OAP'!V75</f>
        <v>4650000</v>
      </c>
      <c r="H75" s="341">
        <f>'Final OAP'!M75+'Final OAP'!Q75+'Final OAP'!T75-'Final OAP'!W75</f>
        <v>0</v>
      </c>
      <c r="I75" s="341">
        <f t="shared" si="24"/>
        <v>4650000</v>
      </c>
      <c r="J75" s="309"/>
      <c r="K75" s="306" t="s">
        <v>945</v>
      </c>
      <c r="L75" s="368"/>
      <c r="M75" s="344">
        <f t="shared" si="25"/>
        <v>0</v>
      </c>
      <c r="N75" s="346">
        <f>1550000+1550000+1550000</f>
        <v>4650000</v>
      </c>
      <c r="O75" s="343">
        <f t="shared" si="23"/>
        <v>0</v>
      </c>
      <c r="P75" s="345"/>
      <c r="Q75" s="346">
        <f t="shared" si="26"/>
        <v>0</v>
      </c>
      <c r="R75" s="356" t="s">
        <v>994</v>
      </c>
      <c r="S75" s="356" t="s">
        <v>995</v>
      </c>
      <c r="T75" s="356" t="s">
        <v>996</v>
      </c>
      <c r="U75" s="356" t="s">
        <v>997</v>
      </c>
      <c r="V75" s="369"/>
      <c r="W75" s="350">
        <f t="shared" si="27"/>
        <v>0</v>
      </c>
      <c r="X75" s="368"/>
      <c r="Y75" s="369">
        <v>4650000</v>
      </c>
      <c r="Z75" s="351">
        <f t="shared" si="28"/>
        <v>0</v>
      </c>
      <c r="AA75" s="368">
        <f>1550000+1550000+1550000</f>
        <v>4650000</v>
      </c>
      <c r="AB75" s="369"/>
      <c r="AC75" s="353">
        <f t="shared" si="29"/>
        <v>0</v>
      </c>
      <c r="AD75" s="354"/>
    </row>
    <row r="76" spans="1:30" ht="81" customHeight="1" x14ac:dyDescent="0.3">
      <c r="A76" s="359"/>
      <c r="B76" s="323">
        <v>2203018</v>
      </c>
      <c r="C76" s="324" t="s">
        <v>470</v>
      </c>
      <c r="D76" s="385" t="s">
        <v>75</v>
      </c>
      <c r="E76" s="373" t="s">
        <v>754</v>
      </c>
      <c r="F76" s="341">
        <f>'Final OAP'!K76+'Final OAP'!O76+'Final OAP'!R76-'Final OAP'!U76</f>
        <v>0</v>
      </c>
      <c r="G76" s="341">
        <f>'Final OAP'!L76+'Final OAP'!P76+'Final OAP'!S76-'Final OAP'!V76</f>
        <v>0</v>
      </c>
      <c r="H76" s="341">
        <f>'Final OAP'!M76+'Final OAP'!Q76+'Final OAP'!T76-'Final OAP'!W76</f>
        <v>0</v>
      </c>
      <c r="I76" s="341">
        <f t="shared" si="24"/>
        <v>0</v>
      </c>
      <c r="J76" s="309" t="s">
        <v>59</v>
      </c>
      <c r="K76" s="306"/>
      <c r="L76" s="368"/>
      <c r="M76" s="344">
        <f t="shared" si="25"/>
        <v>0</v>
      </c>
      <c r="N76" s="346"/>
      <c r="O76" s="343">
        <f t="shared" si="23"/>
        <v>0</v>
      </c>
      <c r="P76" s="345"/>
      <c r="Q76" s="346">
        <f t="shared" si="26"/>
        <v>0</v>
      </c>
      <c r="R76" s="356"/>
      <c r="S76" s="356"/>
      <c r="T76" s="356"/>
      <c r="U76" s="356"/>
      <c r="V76" s="369"/>
      <c r="W76" s="350">
        <f t="shared" si="27"/>
        <v>0</v>
      </c>
      <c r="X76" s="368"/>
      <c r="Y76" s="368"/>
      <c r="Z76" s="351">
        <f t="shared" si="28"/>
        <v>0</v>
      </c>
      <c r="AA76" s="368"/>
      <c r="AB76" s="369"/>
      <c r="AC76" s="353">
        <f t="shared" si="29"/>
        <v>0</v>
      </c>
      <c r="AD76" s="354"/>
    </row>
    <row r="77" spans="1:30" ht="117" customHeight="1" x14ac:dyDescent="0.3">
      <c r="A77" s="338" t="s">
        <v>587</v>
      </c>
      <c r="B77" s="323">
        <v>2203018</v>
      </c>
      <c r="C77" s="324" t="s">
        <v>470</v>
      </c>
      <c r="D77" s="385" t="s">
        <v>75</v>
      </c>
      <c r="E77" s="373" t="s">
        <v>323</v>
      </c>
      <c r="F77" s="341">
        <f>'Final OAP'!K77+'Final OAP'!O77+'Final OAP'!R77-'Final OAP'!U77</f>
        <v>36187250</v>
      </c>
      <c r="G77" s="341">
        <f>'Final OAP'!L77+'Final OAP'!P77+'Final OAP'!S77-'Final OAP'!V77</f>
        <v>1535217</v>
      </c>
      <c r="H77" s="341">
        <f>'Final OAP'!M77+'Final OAP'!Q77+'Final OAP'!T77-'Final OAP'!W77</f>
        <v>0</v>
      </c>
      <c r="I77" s="341">
        <f t="shared" si="24"/>
        <v>37722467</v>
      </c>
      <c r="J77" s="309" t="s">
        <v>59</v>
      </c>
      <c r="K77" s="360" t="s">
        <v>1186</v>
      </c>
      <c r="L77" s="368">
        <f>37612806-1425556</f>
        <v>36187250</v>
      </c>
      <c r="M77" s="344">
        <f t="shared" si="25"/>
        <v>0</v>
      </c>
      <c r="N77" s="372">
        <v>1535217</v>
      </c>
      <c r="O77" s="343">
        <f t="shared" si="23"/>
        <v>0</v>
      </c>
      <c r="P77" s="345"/>
      <c r="Q77" s="346">
        <f t="shared" si="26"/>
        <v>0</v>
      </c>
      <c r="R77" s="360" t="s">
        <v>1196</v>
      </c>
      <c r="S77" s="361" t="s">
        <v>1197</v>
      </c>
      <c r="T77" s="306" t="s">
        <v>526</v>
      </c>
      <c r="U77" s="306" t="s">
        <v>527</v>
      </c>
      <c r="V77" s="368">
        <v>36187250</v>
      </c>
      <c r="W77" s="350">
        <f t="shared" si="27"/>
        <v>0</v>
      </c>
      <c r="X77" s="368">
        <f>13159000+3289750+3289750+3289750+3289750+3289750+3289750+3289750</f>
        <v>36187250</v>
      </c>
      <c r="Y77" s="368">
        <v>1535217</v>
      </c>
      <c r="Z77" s="351">
        <f t="shared" si="28"/>
        <v>0</v>
      </c>
      <c r="AA77" s="368"/>
      <c r="AB77" s="368"/>
      <c r="AC77" s="353">
        <f t="shared" si="29"/>
        <v>0</v>
      </c>
      <c r="AD77" s="354"/>
    </row>
    <row r="78" spans="1:30" ht="81" customHeight="1" x14ac:dyDescent="0.3">
      <c r="A78" s="338"/>
      <c r="B78" s="323">
        <v>2203018</v>
      </c>
      <c r="C78" s="324" t="s">
        <v>470</v>
      </c>
      <c r="D78" s="385" t="s">
        <v>75</v>
      </c>
      <c r="E78" s="373" t="s">
        <v>753</v>
      </c>
      <c r="F78" s="341">
        <f>'Final OAP'!K78+'Final OAP'!O78+'Final OAP'!R78-'Final OAP'!U78</f>
        <v>0</v>
      </c>
      <c r="G78" s="341">
        <f>'Final OAP'!L78+'Final OAP'!P78+'Final OAP'!S78-'Final OAP'!V78</f>
        <v>0</v>
      </c>
      <c r="H78" s="341">
        <f>'Final OAP'!M78+'Final OAP'!Q78+'Final OAP'!T78-'Final OAP'!W78</f>
        <v>0</v>
      </c>
      <c r="I78" s="341">
        <f t="shared" si="24"/>
        <v>0</v>
      </c>
      <c r="J78" s="309" t="s">
        <v>59</v>
      </c>
      <c r="K78" s="360"/>
      <c r="L78" s="368"/>
      <c r="M78" s="344">
        <f t="shared" si="25"/>
        <v>0</v>
      </c>
      <c r="N78" s="372"/>
      <c r="O78" s="343">
        <f t="shared" si="23"/>
        <v>0</v>
      </c>
      <c r="P78" s="345"/>
      <c r="Q78" s="346">
        <f t="shared" si="26"/>
        <v>0</v>
      </c>
      <c r="R78" s="360"/>
      <c r="S78" s="361"/>
      <c r="T78" s="306"/>
      <c r="U78" s="306"/>
      <c r="V78" s="368"/>
      <c r="W78" s="350">
        <f t="shared" si="27"/>
        <v>0</v>
      </c>
      <c r="X78" s="368"/>
      <c r="Y78" s="368"/>
      <c r="Z78" s="351">
        <f t="shared" si="28"/>
        <v>0</v>
      </c>
      <c r="AA78" s="368"/>
      <c r="AB78" s="368"/>
      <c r="AC78" s="353">
        <f t="shared" si="29"/>
        <v>0</v>
      </c>
      <c r="AD78" s="354"/>
    </row>
    <row r="79" spans="1:30" ht="81" customHeight="1" x14ac:dyDescent="0.3">
      <c r="A79" s="338" t="s">
        <v>594</v>
      </c>
      <c r="B79" s="323">
        <v>2203018</v>
      </c>
      <c r="C79" s="324" t="s">
        <v>470</v>
      </c>
      <c r="D79" s="385" t="s">
        <v>75</v>
      </c>
      <c r="E79" s="306" t="s">
        <v>77</v>
      </c>
      <c r="F79" s="341">
        <f>'Final OAP'!K79+'Final OAP'!O79+'Final OAP'!R79-'Final OAP'!U79</f>
        <v>2499000</v>
      </c>
      <c r="G79" s="341">
        <f>'Final OAP'!L79+'Final OAP'!P79+'Final OAP'!S79-'Final OAP'!V79</f>
        <v>0</v>
      </c>
      <c r="H79" s="341">
        <f>'Final OAP'!M79+'Final OAP'!Q79+'Final OAP'!T79-'Final OAP'!W79</f>
        <v>0</v>
      </c>
      <c r="I79" s="341">
        <f t="shared" si="24"/>
        <v>2499000</v>
      </c>
      <c r="J79" s="309" t="s">
        <v>59</v>
      </c>
      <c r="K79" s="360">
        <v>21219</v>
      </c>
      <c r="L79" s="368">
        <f>2500000-1000</f>
        <v>2499000</v>
      </c>
      <c r="M79" s="550">
        <f t="shared" si="25"/>
        <v>0</v>
      </c>
      <c r="N79" s="346"/>
      <c r="O79" s="343">
        <f t="shared" si="23"/>
        <v>0</v>
      </c>
      <c r="P79" s="345"/>
      <c r="Q79" s="346">
        <f t="shared" si="26"/>
        <v>0</v>
      </c>
      <c r="R79" s="360">
        <v>40619</v>
      </c>
      <c r="S79" s="306">
        <v>43714</v>
      </c>
      <c r="T79" s="306" t="s">
        <v>972</v>
      </c>
      <c r="U79" s="306" t="s">
        <v>990</v>
      </c>
      <c r="V79" s="369">
        <v>2499000</v>
      </c>
      <c r="W79" s="350">
        <f t="shared" si="27"/>
        <v>0</v>
      </c>
      <c r="X79" s="368"/>
      <c r="Y79" s="368"/>
      <c r="Z79" s="351">
        <f t="shared" si="28"/>
        <v>0</v>
      </c>
      <c r="AA79" s="368"/>
      <c r="AB79" s="369"/>
      <c r="AC79" s="353">
        <f t="shared" si="29"/>
        <v>0</v>
      </c>
      <c r="AD79" s="354"/>
    </row>
    <row r="80" spans="1:30" ht="81" customHeight="1" x14ac:dyDescent="0.3">
      <c r="A80" s="338"/>
      <c r="B80" s="323">
        <v>2203018</v>
      </c>
      <c r="C80" s="324" t="s">
        <v>470</v>
      </c>
      <c r="D80" s="385" t="s">
        <v>75</v>
      </c>
      <c r="E80" s="306" t="s">
        <v>1077</v>
      </c>
      <c r="F80" s="341">
        <v>4802717</v>
      </c>
      <c r="G80" s="341">
        <v>7609169</v>
      </c>
      <c r="H80" s="341"/>
      <c r="I80" s="341">
        <f t="shared" si="24"/>
        <v>12411886</v>
      </c>
      <c r="J80" s="309" t="s">
        <v>59</v>
      </c>
      <c r="K80" s="360">
        <v>36519</v>
      </c>
      <c r="L80" s="368">
        <v>4802717</v>
      </c>
      <c r="M80" s="550">
        <f t="shared" ref="M80" si="30">F80-L80</f>
        <v>0</v>
      </c>
      <c r="N80" s="550">
        <v>7605453</v>
      </c>
      <c r="O80" s="343">
        <f t="shared" ref="O80" si="31">+G80-N80</f>
        <v>3716</v>
      </c>
      <c r="P80" s="345"/>
      <c r="Q80" s="346">
        <f t="shared" ref="Q80" si="32">H80-P80</f>
        <v>0</v>
      </c>
      <c r="R80" s="555" t="s">
        <v>1200</v>
      </c>
      <c r="S80" s="361">
        <v>43818</v>
      </c>
      <c r="T80" s="306" t="s">
        <v>1201</v>
      </c>
      <c r="U80" s="306" t="s">
        <v>1202</v>
      </c>
      <c r="V80" s="369">
        <v>4802717</v>
      </c>
      <c r="W80" s="555">
        <f t="shared" ref="W80" si="33">F80-V80</f>
        <v>0</v>
      </c>
      <c r="X80" s="368"/>
      <c r="Y80" s="368">
        <v>4342283</v>
      </c>
      <c r="Z80" s="556">
        <f t="shared" ref="Z80" si="34">G80-Y80</f>
        <v>3266886</v>
      </c>
      <c r="AA80" s="368"/>
      <c r="AB80" s="369"/>
      <c r="AC80" s="353">
        <f t="shared" ref="AC80" si="35">H80-AB80</f>
        <v>0</v>
      </c>
      <c r="AD80" s="354"/>
    </row>
    <row r="81" spans="1:30" ht="81" customHeight="1" x14ac:dyDescent="0.3">
      <c r="A81" s="338" t="s">
        <v>595</v>
      </c>
      <c r="B81" s="323">
        <v>2203018</v>
      </c>
      <c r="C81" s="324" t="s">
        <v>470</v>
      </c>
      <c r="D81" s="385" t="s">
        <v>75</v>
      </c>
      <c r="E81" s="377" t="s">
        <v>293</v>
      </c>
      <c r="F81" s="341">
        <f>'Final OAP'!K81+'Final OAP'!O81+'Final OAP'!R81-'Final OAP'!U81</f>
        <v>0</v>
      </c>
      <c r="G81" s="341">
        <f>'Final OAP'!L81+'Final OAP'!P81+'Final OAP'!S81-'Final OAP'!V81</f>
        <v>0</v>
      </c>
      <c r="H81" s="341">
        <f>'Final OAP'!M81+'Final OAP'!Q81+'Final OAP'!T81-'Final OAP'!W81</f>
        <v>0</v>
      </c>
      <c r="I81" s="341">
        <f t="shared" si="24"/>
        <v>0</v>
      </c>
      <c r="J81" s="309" t="s">
        <v>59</v>
      </c>
      <c r="K81" s="356"/>
      <c r="L81" s="368"/>
      <c r="M81" s="344">
        <f t="shared" si="25"/>
        <v>0</v>
      </c>
      <c r="N81" s="346"/>
      <c r="O81" s="343">
        <f t="shared" si="23"/>
        <v>0</v>
      </c>
      <c r="P81" s="345"/>
      <c r="Q81" s="346">
        <f t="shared" si="26"/>
        <v>0</v>
      </c>
      <c r="R81" s="356"/>
      <c r="S81" s="361"/>
      <c r="T81" s="306"/>
      <c r="U81" s="306"/>
      <c r="V81" s="369"/>
      <c r="W81" s="350">
        <f t="shared" si="27"/>
        <v>0</v>
      </c>
      <c r="X81" s="368"/>
      <c r="Y81" s="368"/>
      <c r="Z81" s="351">
        <f t="shared" si="28"/>
        <v>0</v>
      </c>
      <c r="AA81" s="368"/>
      <c r="AB81" s="369"/>
      <c r="AC81" s="353">
        <f t="shared" si="29"/>
        <v>0</v>
      </c>
      <c r="AD81" s="354"/>
    </row>
    <row r="82" spans="1:30" s="322" customFormat="1" ht="90" customHeight="1" x14ac:dyDescent="0.25">
      <c r="A82" s="384" t="s">
        <v>587</v>
      </c>
      <c r="B82" s="323">
        <v>2203018</v>
      </c>
      <c r="C82" s="324" t="s">
        <v>470</v>
      </c>
      <c r="D82" s="385" t="s">
        <v>75</v>
      </c>
      <c r="E82" s="377" t="s">
        <v>129</v>
      </c>
      <c r="F82" s="341">
        <f>'Final OAP'!K82+'Final OAP'!O82+'Final OAP'!R82-'Final OAP'!U82</f>
        <v>30808710</v>
      </c>
      <c r="G82" s="341">
        <f>'Final OAP'!L82+'Final OAP'!P82+'Final OAP'!S82-'Final OAP'!V82</f>
        <v>964783</v>
      </c>
      <c r="H82" s="341">
        <f>'Final OAP'!M82+'Final OAP'!Q82+'Final OAP'!T82-'Final OAP'!W82</f>
        <v>0</v>
      </c>
      <c r="I82" s="341">
        <f t="shared" si="24"/>
        <v>31773493</v>
      </c>
      <c r="J82" s="309" t="s">
        <v>59</v>
      </c>
      <c r="K82" s="360" t="s">
        <v>1154</v>
      </c>
      <c r="L82" s="368">
        <f>30607500+201210</f>
        <v>30808710</v>
      </c>
      <c r="M82" s="344">
        <f t="shared" si="25"/>
        <v>0</v>
      </c>
      <c r="N82" s="372">
        <v>964783</v>
      </c>
      <c r="O82" s="343">
        <f t="shared" si="23"/>
        <v>0</v>
      </c>
      <c r="P82" s="345"/>
      <c r="Q82" s="346">
        <f t="shared" si="26"/>
        <v>0</v>
      </c>
      <c r="R82" s="360" t="s">
        <v>1198</v>
      </c>
      <c r="S82" s="361" t="s">
        <v>1199</v>
      </c>
      <c r="T82" s="306" t="s">
        <v>636</v>
      </c>
      <c r="U82" s="306" t="s">
        <v>637</v>
      </c>
      <c r="V82" s="368">
        <f>30607500+201210</f>
        <v>30808710</v>
      </c>
      <c r="W82" s="350">
        <f t="shared" si="27"/>
        <v>0</v>
      </c>
      <c r="X82" s="368">
        <f>8744946+2914982+2914982+2914982+2914982+2914982+2914982+2914982+1457680</f>
        <v>30607500</v>
      </c>
      <c r="Y82" s="368">
        <v>964783</v>
      </c>
      <c r="Z82" s="351">
        <f t="shared" si="28"/>
        <v>0</v>
      </c>
      <c r="AA82" s="368"/>
      <c r="AB82" s="369"/>
      <c r="AC82" s="353">
        <f t="shared" si="29"/>
        <v>0</v>
      </c>
      <c r="AD82" s="354"/>
    </row>
    <row r="83" spans="1:30" s="322" customFormat="1" ht="101.25" customHeight="1" x14ac:dyDescent="0.25">
      <c r="A83" s="388" t="s">
        <v>629</v>
      </c>
      <c r="B83" s="323">
        <v>2203018</v>
      </c>
      <c r="C83" s="324" t="s">
        <v>470</v>
      </c>
      <c r="D83" s="383" t="s">
        <v>76</v>
      </c>
      <c r="E83" s="364" t="s">
        <v>387</v>
      </c>
      <c r="F83" s="341">
        <f>'Final OAP'!K83+'Final OAP'!O83+'Final OAP'!R83-'Final OAP'!U83</f>
        <v>0</v>
      </c>
      <c r="G83" s="341">
        <f>'Final OAP'!L83+'Final OAP'!P83+'Final OAP'!S83-'Final OAP'!V83</f>
        <v>0</v>
      </c>
      <c r="H83" s="341">
        <f>'Final OAP'!M83+'Final OAP'!Q83+'Final OAP'!T83-'Final OAP'!W83</f>
        <v>0</v>
      </c>
      <c r="I83" s="341">
        <f t="shared" si="24"/>
        <v>0</v>
      </c>
      <c r="J83" s="309" t="s">
        <v>59</v>
      </c>
      <c r="K83" s="356"/>
      <c r="L83" s="368"/>
      <c r="M83" s="344">
        <f t="shared" si="25"/>
        <v>0</v>
      </c>
      <c r="N83" s="346"/>
      <c r="O83" s="343">
        <f t="shared" si="23"/>
        <v>0</v>
      </c>
      <c r="P83" s="345"/>
      <c r="Q83" s="346">
        <f t="shared" si="26"/>
        <v>0</v>
      </c>
      <c r="R83" s="356"/>
      <c r="S83" s="356"/>
      <c r="T83" s="356"/>
      <c r="U83" s="356"/>
      <c r="V83" s="369"/>
      <c r="W83" s="350">
        <f t="shared" si="27"/>
        <v>0</v>
      </c>
      <c r="X83" s="368"/>
      <c r="Y83" s="368"/>
      <c r="Z83" s="351">
        <f t="shared" si="28"/>
        <v>0</v>
      </c>
      <c r="AA83" s="368"/>
      <c r="AB83" s="369"/>
      <c r="AC83" s="353">
        <f t="shared" si="29"/>
        <v>0</v>
      </c>
      <c r="AD83" s="354"/>
    </row>
    <row r="84" spans="1:30" s="322" customFormat="1" ht="101.25" customHeight="1" x14ac:dyDescent="0.25">
      <c r="A84" s="388" t="s">
        <v>629</v>
      </c>
      <c r="B84" s="323">
        <v>2203018</v>
      </c>
      <c r="C84" s="324" t="s">
        <v>470</v>
      </c>
      <c r="D84" s="383" t="s">
        <v>76</v>
      </c>
      <c r="E84" s="364" t="s">
        <v>388</v>
      </c>
      <c r="F84" s="341">
        <f>'Final OAP'!K84+'Final OAP'!O84+'Final OAP'!R84-'Final OAP'!U84</f>
        <v>0</v>
      </c>
      <c r="G84" s="341">
        <f>'Final OAP'!L84+'Final OAP'!P84+'Final OAP'!S84-'Final OAP'!V84</f>
        <v>0</v>
      </c>
      <c r="H84" s="341">
        <f>'Final OAP'!M84+'Final OAP'!Q84+'Final OAP'!T84-'Final OAP'!W84</f>
        <v>0</v>
      </c>
      <c r="I84" s="341">
        <f t="shared" si="24"/>
        <v>0</v>
      </c>
      <c r="J84" s="309" t="s">
        <v>59</v>
      </c>
      <c r="K84" s="356"/>
      <c r="L84" s="368"/>
      <c r="M84" s="344">
        <f t="shared" si="25"/>
        <v>0</v>
      </c>
      <c r="N84" s="346"/>
      <c r="O84" s="343">
        <f t="shared" si="23"/>
        <v>0</v>
      </c>
      <c r="P84" s="345"/>
      <c r="Q84" s="346">
        <f t="shared" si="26"/>
        <v>0</v>
      </c>
      <c r="R84" s="356"/>
      <c r="S84" s="356"/>
      <c r="T84" s="356"/>
      <c r="U84" s="356"/>
      <c r="V84" s="369"/>
      <c r="W84" s="350">
        <f t="shared" si="27"/>
        <v>0</v>
      </c>
      <c r="X84" s="368"/>
      <c r="Y84" s="368"/>
      <c r="Z84" s="351">
        <f t="shared" si="28"/>
        <v>0</v>
      </c>
      <c r="AA84" s="368"/>
      <c r="AB84" s="369"/>
      <c r="AC84" s="353">
        <f t="shared" si="29"/>
        <v>0</v>
      </c>
      <c r="AD84" s="354"/>
    </row>
    <row r="85" spans="1:30" s="322" customFormat="1" ht="101.25" customHeight="1" x14ac:dyDescent="0.25">
      <c r="A85" s="388" t="s">
        <v>629</v>
      </c>
      <c r="B85" s="323">
        <v>2203018</v>
      </c>
      <c r="C85" s="324" t="s">
        <v>470</v>
      </c>
      <c r="D85" s="383" t="s">
        <v>76</v>
      </c>
      <c r="E85" s="364" t="s">
        <v>389</v>
      </c>
      <c r="F85" s="341">
        <f>'Final OAP'!K85+'Final OAP'!O85+'Final OAP'!R85-'Final OAP'!U85</f>
        <v>0</v>
      </c>
      <c r="G85" s="341">
        <f>'Final OAP'!L85+'Final OAP'!P85+'Final OAP'!S85-'Final OAP'!V85</f>
        <v>0</v>
      </c>
      <c r="H85" s="341">
        <f>'Final OAP'!M85+'Final OAP'!Q85+'Final OAP'!T85-'Final OAP'!W85</f>
        <v>0</v>
      </c>
      <c r="I85" s="341">
        <f t="shared" si="24"/>
        <v>0</v>
      </c>
      <c r="J85" s="309" t="s">
        <v>59</v>
      </c>
      <c r="K85" s="356"/>
      <c r="L85" s="368"/>
      <c r="M85" s="344">
        <f t="shared" si="25"/>
        <v>0</v>
      </c>
      <c r="N85" s="346"/>
      <c r="O85" s="343">
        <f t="shared" si="23"/>
        <v>0</v>
      </c>
      <c r="P85" s="345"/>
      <c r="Q85" s="346">
        <f t="shared" si="26"/>
        <v>0</v>
      </c>
      <c r="R85" s="356"/>
      <c r="S85" s="356"/>
      <c r="T85" s="356"/>
      <c r="U85" s="356"/>
      <c r="V85" s="369"/>
      <c r="W85" s="350">
        <f t="shared" si="27"/>
        <v>0</v>
      </c>
      <c r="X85" s="368"/>
      <c r="Y85" s="368"/>
      <c r="Z85" s="351">
        <f t="shared" si="28"/>
        <v>0</v>
      </c>
      <c r="AA85" s="368"/>
      <c r="AB85" s="369"/>
      <c r="AC85" s="353">
        <f t="shared" si="29"/>
        <v>0</v>
      </c>
      <c r="AD85" s="354"/>
    </row>
    <row r="86" spans="1:30" s="365" customFormat="1" ht="81" customHeight="1" x14ac:dyDescent="0.3">
      <c r="A86" s="388" t="s">
        <v>219</v>
      </c>
      <c r="B86" s="323">
        <v>2203018</v>
      </c>
      <c r="C86" s="324" t="s">
        <v>470</v>
      </c>
      <c r="D86" s="385" t="s">
        <v>75</v>
      </c>
      <c r="E86" s="364" t="s">
        <v>147</v>
      </c>
      <c r="F86" s="341">
        <f>'Final OAP'!K86+'Final OAP'!O86+'Final OAP'!R86-'Final OAP'!U86</f>
        <v>0</v>
      </c>
      <c r="G86" s="341">
        <f>'Final OAP'!L86+'Final OAP'!P86+'Final OAP'!S86-'Final OAP'!V86</f>
        <v>0</v>
      </c>
      <c r="H86" s="341">
        <f>'Final OAP'!M86+'Final OAP'!Q86+'Final OAP'!T86-'Final OAP'!W86</f>
        <v>0</v>
      </c>
      <c r="I86" s="341">
        <f t="shared" si="24"/>
        <v>0</v>
      </c>
      <c r="J86" s="374" t="s">
        <v>59</v>
      </c>
      <c r="K86" s="356"/>
      <c r="L86" s="368"/>
      <c r="M86" s="344">
        <f t="shared" si="25"/>
        <v>0</v>
      </c>
      <c r="N86" s="346"/>
      <c r="O86" s="343">
        <f t="shared" si="23"/>
        <v>0</v>
      </c>
      <c r="P86" s="345"/>
      <c r="Q86" s="346">
        <f t="shared" si="26"/>
        <v>0</v>
      </c>
      <c r="R86" s="356"/>
      <c r="S86" s="361"/>
      <c r="T86" s="356"/>
      <c r="U86" s="356"/>
      <c r="V86" s="369"/>
      <c r="W86" s="350">
        <f t="shared" si="27"/>
        <v>0</v>
      </c>
      <c r="X86" s="368"/>
      <c r="Y86" s="368"/>
      <c r="Z86" s="351">
        <f t="shared" si="28"/>
        <v>0</v>
      </c>
      <c r="AA86" s="368"/>
      <c r="AB86" s="369"/>
      <c r="AC86" s="353">
        <f t="shared" si="29"/>
        <v>0</v>
      </c>
      <c r="AD86" s="354"/>
    </row>
    <row r="87" spans="1:30" s="322" customFormat="1" ht="162" customHeight="1" x14ac:dyDescent="0.3">
      <c r="A87" s="338" t="s">
        <v>616</v>
      </c>
      <c r="B87" s="323">
        <v>2203016</v>
      </c>
      <c r="C87" s="324" t="s">
        <v>471</v>
      </c>
      <c r="D87" s="389" t="s">
        <v>135</v>
      </c>
      <c r="E87" s="340" t="s">
        <v>949</v>
      </c>
      <c r="F87" s="341">
        <f>'Final OAP'!K87+'Final OAP'!O87+'Final OAP'!R87-'Final OAP'!U87</f>
        <v>13501735</v>
      </c>
      <c r="G87" s="341">
        <f>'Final OAP'!L87+'Final OAP'!P87+'Final OAP'!S87-'Final OAP'!V87</f>
        <v>698265</v>
      </c>
      <c r="H87" s="341">
        <f>'Final OAP'!M87+'Final OAP'!Q87+'Final OAP'!T87-'Final OAP'!W87</f>
        <v>0</v>
      </c>
      <c r="I87" s="341">
        <f t="shared" ref="I87:I141" si="36">+G87+H87+F87</f>
        <v>14200000</v>
      </c>
      <c r="J87" s="309" t="s">
        <v>59</v>
      </c>
      <c r="K87" s="364">
        <v>37519</v>
      </c>
      <c r="L87" s="366">
        <v>13501735</v>
      </c>
      <c r="M87" s="344">
        <f t="shared" ref="M87:M107" si="37">F87-L87</f>
        <v>0</v>
      </c>
      <c r="N87" s="390">
        <v>698265</v>
      </c>
      <c r="O87" s="343">
        <f t="shared" ref="O87:O107" si="38">+G87-N87</f>
        <v>0</v>
      </c>
      <c r="P87" s="391"/>
      <c r="Q87" s="346">
        <f t="shared" ref="Q87:Q107" si="39">H87-P87</f>
        <v>0</v>
      </c>
      <c r="R87" s="364">
        <v>58519</v>
      </c>
      <c r="S87" s="395">
        <v>43822</v>
      </c>
      <c r="T87" s="364" t="s">
        <v>1207</v>
      </c>
      <c r="U87" s="364" t="s">
        <v>1208</v>
      </c>
      <c r="V87" s="366">
        <v>13501735</v>
      </c>
      <c r="W87" s="555">
        <f t="shared" ref="W87:W141" si="40">F87-V87</f>
        <v>0</v>
      </c>
      <c r="X87" s="366"/>
      <c r="Y87" s="366">
        <v>698265</v>
      </c>
      <c r="Z87" s="556">
        <f t="shared" ref="Z87:Z141" si="41">G87-Y87</f>
        <v>0</v>
      </c>
      <c r="AA87" s="366"/>
      <c r="AB87" s="392"/>
      <c r="AC87" s="353">
        <f t="shared" ref="AC87:AC141" si="42">H87-AB87</f>
        <v>0</v>
      </c>
      <c r="AD87" s="354"/>
    </row>
    <row r="88" spans="1:30" s="322" customFormat="1" ht="141.75" customHeight="1" x14ac:dyDescent="0.3">
      <c r="A88" s="338" t="s">
        <v>592</v>
      </c>
      <c r="B88" s="323">
        <v>2203016</v>
      </c>
      <c r="C88" s="324" t="s">
        <v>471</v>
      </c>
      <c r="D88" s="393" t="s">
        <v>290</v>
      </c>
      <c r="E88" s="349" t="s">
        <v>295</v>
      </c>
      <c r="F88" s="341">
        <f>'Final OAP'!K88+'Final OAP'!O88+'Final OAP'!R88-'Final OAP'!U88</f>
        <v>200000</v>
      </c>
      <c r="G88" s="341">
        <f>'Final OAP'!L88+'Final OAP'!P88+'Final OAP'!S88-'Final OAP'!V88</f>
        <v>1106000</v>
      </c>
      <c r="H88" s="341">
        <f>'Final OAP'!M88+'Final OAP'!Q88+'Final OAP'!T88-'Final OAP'!W88</f>
        <v>0</v>
      </c>
      <c r="I88" s="341">
        <f t="shared" si="36"/>
        <v>1306000</v>
      </c>
      <c r="J88" s="309" t="s">
        <v>59</v>
      </c>
      <c r="K88" s="356" t="s">
        <v>1091</v>
      </c>
      <c r="L88" s="366">
        <v>200000</v>
      </c>
      <c r="M88" s="344">
        <f t="shared" si="37"/>
        <v>0</v>
      </c>
      <c r="N88" s="390">
        <f>240000+80000+100000+110000+120000+70000+80000-4000+264000-64000+50000+60000</f>
        <v>1106000</v>
      </c>
      <c r="O88" s="343">
        <f t="shared" si="38"/>
        <v>0</v>
      </c>
      <c r="P88" s="391"/>
      <c r="Q88" s="346">
        <f t="shared" si="39"/>
        <v>0</v>
      </c>
      <c r="R88" s="394" t="s">
        <v>909</v>
      </c>
      <c r="S88" s="395" t="s">
        <v>910</v>
      </c>
      <c r="T88" s="364" t="s">
        <v>911</v>
      </c>
      <c r="U88" s="364" t="s">
        <v>693</v>
      </c>
      <c r="V88" s="366">
        <v>200000</v>
      </c>
      <c r="W88" s="350">
        <f t="shared" si="40"/>
        <v>0</v>
      </c>
      <c r="X88" s="366">
        <v>200000</v>
      </c>
      <c r="Y88" s="366">
        <f>240000+80000+100000+110000+120000+70000+80000-4000+264000-64000+50000+60000</f>
        <v>1106000</v>
      </c>
      <c r="Z88" s="556">
        <f t="shared" si="41"/>
        <v>0</v>
      </c>
      <c r="AA88" s="366">
        <f>240000+80000+100000+110000+120000+70000+80000-4000+264000-64000+50000+60000</f>
        <v>1106000</v>
      </c>
      <c r="AB88" s="392"/>
      <c r="AC88" s="353">
        <f t="shared" si="42"/>
        <v>0</v>
      </c>
      <c r="AD88" s="354"/>
    </row>
    <row r="89" spans="1:30" s="322" customFormat="1" ht="121.5" customHeight="1" x14ac:dyDescent="0.3">
      <c r="A89" s="338" t="s">
        <v>592</v>
      </c>
      <c r="B89" s="323">
        <v>2203016</v>
      </c>
      <c r="C89" s="324" t="s">
        <v>471</v>
      </c>
      <c r="D89" s="396" t="s">
        <v>290</v>
      </c>
      <c r="E89" s="340" t="s">
        <v>416</v>
      </c>
      <c r="F89" s="341">
        <f>'Final OAP'!K89+'Final OAP'!O89+'Final OAP'!R89-'Final OAP'!U89</f>
        <v>800000</v>
      </c>
      <c r="G89" s="341">
        <f>'Final OAP'!L89+'Final OAP'!P89+'Final OAP'!S89-'Final OAP'!V89</f>
        <v>2700000</v>
      </c>
      <c r="H89" s="341">
        <f>'Final OAP'!M89+'Final OAP'!Q89+'Final OAP'!T89-'Final OAP'!W89</f>
        <v>0</v>
      </c>
      <c r="I89" s="341">
        <f t="shared" si="36"/>
        <v>3500000</v>
      </c>
      <c r="J89" s="309" t="s">
        <v>59</v>
      </c>
      <c r="K89" s="364">
        <v>17819</v>
      </c>
      <c r="L89" s="366">
        <v>800000</v>
      </c>
      <c r="M89" s="344">
        <f t="shared" si="37"/>
        <v>0</v>
      </c>
      <c r="N89" s="390">
        <v>2700000</v>
      </c>
      <c r="O89" s="343">
        <f t="shared" si="38"/>
        <v>0</v>
      </c>
      <c r="P89" s="391"/>
      <c r="Q89" s="346">
        <f t="shared" si="39"/>
        <v>0</v>
      </c>
      <c r="R89" s="355">
        <v>39119</v>
      </c>
      <c r="S89" s="348">
        <v>43710</v>
      </c>
      <c r="T89" s="349" t="s">
        <v>968</v>
      </c>
      <c r="U89" s="349" t="s">
        <v>969</v>
      </c>
      <c r="V89" s="366">
        <v>800000</v>
      </c>
      <c r="W89" s="350">
        <f t="shared" si="40"/>
        <v>0</v>
      </c>
      <c r="X89" s="366"/>
      <c r="Y89" s="366">
        <v>2700000</v>
      </c>
      <c r="Z89" s="549">
        <f t="shared" si="41"/>
        <v>0</v>
      </c>
      <c r="AA89" s="366">
        <v>2056620</v>
      </c>
      <c r="AB89" s="392"/>
      <c r="AC89" s="353">
        <f t="shared" si="42"/>
        <v>0</v>
      </c>
      <c r="AD89" s="354"/>
    </row>
    <row r="90" spans="1:30" s="365" customFormat="1" ht="141.75" customHeight="1" x14ac:dyDescent="0.3">
      <c r="A90" s="338" t="s">
        <v>613</v>
      </c>
      <c r="B90" s="323">
        <v>2203016</v>
      </c>
      <c r="C90" s="324" t="s">
        <v>471</v>
      </c>
      <c r="D90" s="396" t="s">
        <v>290</v>
      </c>
      <c r="E90" s="349" t="s">
        <v>386</v>
      </c>
      <c r="F90" s="341">
        <f>'Final OAP'!K90+'Final OAP'!O90+'Final OAP'!R90-'Final OAP'!U90</f>
        <v>498265</v>
      </c>
      <c r="G90" s="341">
        <f>'Final OAP'!L90+'Final OAP'!P90+'Final OAP'!S90-'Final OAP'!V90</f>
        <v>5479987</v>
      </c>
      <c r="H90" s="341">
        <f>'Final OAP'!M90+'Final OAP'!Q90+'Final OAP'!T90-'Final OAP'!W90</f>
        <v>0</v>
      </c>
      <c r="I90" s="341">
        <f t="shared" si="36"/>
        <v>5978252</v>
      </c>
      <c r="J90" s="309" t="s">
        <v>59</v>
      </c>
      <c r="K90" s="356" t="s">
        <v>862</v>
      </c>
      <c r="L90" s="366">
        <v>498265</v>
      </c>
      <c r="M90" s="344">
        <f t="shared" si="37"/>
        <v>0</v>
      </c>
      <c r="N90" s="390">
        <f>617990+858254+1417665+617990+858254+766535+343299</f>
        <v>5479987</v>
      </c>
      <c r="O90" s="343">
        <f t="shared" si="38"/>
        <v>0</v>
      </c>
      <c r="P90" s="391"/>
      <c r="Q90" s="346">
        <f t="shared" si="39"/>
        <v>0</v>
      </c>
      <c r="R90" s="394" t="s">
        <v>909</v>
      </c>
      <c r="S90" s="395" t="s">
        <v>910</v>
      </c>
      <c r="T90" s="364" t="s">
        <v>911</v>
      </c>
      <c r="U90" s="364" t="s">
        <v>731</v>
      </c>
      <c r="V90" s="366">
        <v>498265</v>
      </c>
      <c r="W90" s="350">
        <f t="shared" si="40"/>
        <v>0</v>
      </c>
      <c r="X90" s="390">
        <v>498265</v>
      </c>
      <c r="Y90" s="366">
        <f>617990+858254+1417665+617990+858254+766535+343299</f>
        <v>5479987</v>
      </c>
      <c r="Z90" s="556">
        <f t="shared" si="41"/>
        <v>0</v>
      </c>
      <c r="AA90" s="366">
        <f>617990+858254+1417665+617990+858254+766535+343299</f>
        <v>5479987</v>
      </c>
      <c r="AB90" s="392"/>
      <c r="AC90" s="353">
        <f t="shared" si="42"/>
        <v>0</v>
      </c>
      <c r="AD90" s="354"/>
    </row>
    <row r="91" spans="1:30" s="365" customFormat="1" ht="101.25" customHeight="1" x14ac:dyDescent="0.3">
      <c r="A91" s="338" t="s">
        <v>612</v>
      </c>
      <c r="B91" s="323">
        <v>2203016</v>
      </c>
      <c r="C91" s="324" t="s">
        <v>471</v>
      </c>
      <c r="D91" s="397" t="s">
        <v>136</v>
      </c>
      <c r="E91" s="340" t="s">
        <v>414</v>
      </c>
      <c r="F91" s="341">
        <f>'Final OAP'!K91+'Final OAP'!O91+'Final OAP'!R91-'Final OAP'!U91</f>
        <v>0</v>
      </c>
      <c r="G91" s="341">
        <f>'Final OAP'!L91+'Final OAP'!P91+'Final OAP'!S91-'Final OAP'!V91</f>
        <v>0</v>
      </c>
      <c r="H91" s="341">
        <f>'Final OAP'!M91+'Final OAP'!Q91+'Final OAP'!T91-'Final OAP'!W91</f>
        <v>0</v>
      </c>
      <c r="I91" s="341">
        <f t="shared" si="36"/>
        <v>0</v>
      </c>
      <c r="J91" s="309" t="s">
        <v>59</v>
      </c>
      <c r="K91" s="364"/>
      <c r="L91" s="366"/>
      <c r="M91" s="344">
        <f t="shared" si="37"/>
        <v>0</v>
      </c>
      <c r="N91" s="390"/>
      <c r="O91" s="343">
        <f t="shared" si="38"/>
        <v>0</v>
      </c>
      <c r="P91" s="391"/>
      <c r="Q91" s="346">
        <f t="shared" si="39"/>
        <v>0</v>
      </c>
      <c r="R91" s="364"/>
      <c r="S91" s="364"/>
      <c r="T91" s="364"/>
      <c r="U91" s="364"/>
      <c r="V91" s="366"/>
      <c r="W91" s="350">
        <f t="shared" si="40"/>
        <v>0</v>
      </c>
      <c r="X91" s="366"/>
      <c r="Y91" s="366"/>
      <c r="Z91" s="351">
        <f t="shared" si="41"/>
        <v>0</v>
      </c>
      <c r="AA91" s="366"/>
      <c r="AB91" s="392"/>
      <c r="AC91" s="353">
        <f t="shared" si="42"/>
        <v>0</v>
      </c>
      <c r="AD91" s="354"/>
    </row>
    <row r="92" spans="1:30" ht="182.25" customHeight="1" x14ac:dyDescent="0.3">
      <c r="A92" s="338" t="s">
        <v>612</v>
      </c>
      <c r="B92" s="323">
        <v>2203016</v>
      </c>
      <c r="C92" s="324" t="s">
        <v>471</v>
      </c>
      <c r="D92" s="396" t="s">
        <v>290</v>
      </c>
      <c r="E92" s="340" t="s">
        <v>669</v>
      </c>
      <c r="F92" s="341">
        <f>'Final OAP'!K92+'Final OAP'!O92+'Final OAP'!R92-'Final OAP'!U92</f>
        <v>0</v>
      </c>
      <c r="G92" s="341">
        <f>'Final OAP'!L92+'Final OAP'!P92+'Final OAP'!S92-'Final OAP'!V92</f>
        <v>10500000</v>
      </c>
      <c r="H92" s="341">
        <f>'Final OAP'!M92+'Final OAP'!Q92+'Final OAP'!T92-'Final OAP'!W92</f>
        <v>0</v>
      </c>
      <c r="I92" s="341">
        <f t="shared" si="36"/>
        <v>10500000</v>
      </c>
      <c r="J92" s="309" t="s">
        <v>59</v>
      </c>
      <c r="K92" s="356" t="s">
        <v>694</v>
      </c>
      <c r="L92" s="366"/>
      <c r="M92" s="344">
        <f t="shared" si="37"/>
        <v>0</v>
      </c>
      <c r="N92" s="368">
        <v>10500000</v>
      </c>
      <c r="O92" s="343">
        <f t="shared" si="38"/>
        <v>0</v>
      </c>
      <c r="P92" s="345"/>
      <c r="Q92" s="346">
        <f t="shared" si="39"/>
        <v>0</v>
      </c>
      <c r="R92" s="356">
        <v>12019</v>
      </c>
      <c r="S92" s="356" t="s">
        <v>724</v>
      </c>
      <c r="T92" s="349" t="s">
        <v>725</v>
      </c>
      <c r="U92" s="349" t="s">
        <v>726</v>
      </c>
      <c r="V92" s="343"/>
      <c r="W92" s="350">
        <f t="shared" si="40"/>
        <v>0</v>
      </c>
      <c r="X92" s="366"/>
      <c r="Y92" s="343">
        <v>10500000</v>
      </c>
      <c r="Z92" s="351">
        <f t="shared" si="41"/>
        <v>0</v>
      </c>
      <c r="AA92" s="343">
        <v>10500000</v>
      </c>
      <c r="AB92" s="352"/>
      <c r="AC92" s="353">
        <f t="shared" si="42"/>
        <v>0</v>
      </c>
      <c r="AD92" s="354"/>
    </row>
    <row r="93" spans="1:30" s="365" customFormat="1" ht="121.5" customHeight="1" x14ac:dyDescent="0.3">
      <c r="A93" s="338" t="s">
        <v>587</v>
      </c>
      <c r="B93" s="323">
        <v>2203016</v>
      </c>
      <c r="C93" s="324" t="s">
        <v>471</v>
      </c>
      <c r="D93" s="396" t="s">
        <v>290</v>
      </c>
      <c r="E93" s="306" t="s">
        <v>411</v>
      </c>
      <c r="F93" s="341">
        <f>'Final OAP'!K93+'Final OAP'!O93+'Final OAP'!R93-'Final OAP'!U93</f>
        <v>6000000</v>
      </c>
      <c r="G93" s="341">
        <f>'Final OAP'!L93+'Final OAP'!P93+'Final OAP'!S93-'Final OAP'!V93</f>
        <v>0</v>
      </c>
      <c r="H93" s="341">
        <f>'Final OAP'!M93+'Final OAP'!Q93+'Final OAP'!T93-'Final OAP'!W93</f>
        <v>0</v>
      </c>
      <c r="I93" s="341">
        <f t="shared" si="36"/>
        <v>6000000</v>
      </c>
      <c r="J93" s="374" t="s">
        <v>59</v>
      </c>
      <c r="K93" s="356" t="s">
        <v>807</v>
      </c>
      <c r="L93" s="366">
        <v>6000000</v>
      </c>
      <c r="M93" s="344">
        <f t="shared" si="37"/>
        <v>0</v>
      </c>
      <c r="N93" s="390"/>
      <c r="O93" s="343">
        <f t="shared" si="38"/>
        <v>0</v>
      </c>
      <c r="P93" s="391"/>
      <c r="Q93" s="346">
        <f t="shared" si="39"/>
        <v>0</v>
      </c>
      <c r="R93" s="364">
        <v>30119</v>
      </c>
      <c r="S93" s="395">
        <v>43657</v>
      </c>
      <c r="T93" s="364" t="s">
        <v>832</v>
      </c>
      <c r="U93" s="364" t="s">
        <v>831</v>
      </c>
      <c r="V93" s="366">
        <v>6000000</v>
      </c>
      <c r="W93" s="350">
        <f t="shared" si="40"/>
        <v>0</v>
      </c>
      <c r="X93" s="366">
        <v>5997600</v>
      </c>
      <c r="Y93" s="366"/>
      <c r="Z93" s="351">
        <f t="shared" si="41"/>
        <v>0</v>
      </c>
      <c r="AA93" s="366"/>
      <c r="AB93" s="392"/>
      <c r="AC93" s="353">
        <f t="shared" si="42"/>
        <v>0</v>
      </c>
      <c r="AD93" s="354"/>
    </row>
    <row r="94" spans="1:30" s="365" customFormat="1" ht="81" customHeight="1" x14ac:dyDescent="0.3">
      <c r="A94" s="384" t="s">
        <v>624</v>
      </c>
      <c r="B94" s="314">
        <v>2299062</v>
      </c>
      <c r="C94" s="315" t="s">
        <v>476</v>
      </c>
      <c r="D94" s="398" t="s">
        <v>122</v>
      </c>
      <c r="E94" s="377" t="s">
        <v>417</v>
      </c>
      <c r="F94" s="341">
        <f>'Final OAP'!K94+'Final OAP'!O94+'Final OAP'!R94-'Final OAP'!U94</f>
        <v>0</v>
      </c>
      <c r="G94" s="341">
        <f>'Final OAP'!L94+'Final OAP'!P94+'Final OAP'!S94-'Final OAP'!V94</f>
        <v>38115000</v>
      </c>
      <c r="H94" s="341">
        <f>'Final OAP'!M94+'Final OAP'!Q94+'Final OAP'!T94-'Final OAP'!W94</f>
        <v>0</v>
      </c>
      <c r="I94" s="341">
        <f t="shared" si="36"/>
        <v>38115000</v>
      </c>
      <c r="J94" s="309" t="s">
        <v>59</v>
      </c>
      <c r="K94" s="360" t="s">
        <v>610</v>
      </c>
      <c r="L94" s="368"/>
      <c r="M94" s="344">
        <f t="shared" si="37"/>
        <v>0</v>
      </c>
      <c r="N94" s="372">
        <f>21115000+17000000</f>
        <v>38115000</v>
      </c>
      <c r="O94" s="343">
        <f t="shared" si="38"/>
        <v>0</v>
      </c>
      <c r="P94" s="345"/>
      <c r="Q94" s="346">
        <f t="shared" si="39"/>
        <v>0</v>
      </c>
      <c r="R94" s="360" t="s">
        <v>663</v>
      </c>
      <c r="S94" s="361" t="s">
        <v>664</v>
      </c>
      <c r="T94" s="306" t="s">
        <v>665</v>
      </c>
      <c r="U94" s="306" t="s">
        <v>666</v>
      </c>
      <c r="V94" s="368"/>
      <c r="W94" s="350">
        <f t="shared" si="40"/>
        <v>0</v>
      </c>
      <c r="X94" s="368"/>
      <c r="Y94" s="368">
        <f>21115000+17000000</f>
        <v>38115000</v>
      </c>
      <c r="Z94" s="351">
        <f t="shared" si="41"/>
        <v>0</v>
      </c>
      <c r="AA94" s="368">
        <f>22869000+2111500+1700000+2111500+2111500+1700000+1700000</f>
        <v>34303500</v>
      </c>
      <c r="AB94" s="369"/>
      <c r="AC94" s="353">
        <f t="shared" si="42"/>
        <v>0</v>
      </c>
      <c r="AD94" s="354"/>
    </row>
    <row r="95" spans="1:30" s="365" customFormat="1" ht="60.75" customHeight="1" x14ac:dyDescent="0.3">
      <c r="A95" s="338" t="s">
        <v>599</v>
      </c>
      <c r="B95" s="314">
        <v>2299062</v>
      </c>
      <c r="C95" s="315" t="s">
        <v>476</v>
      </c>
      <c r="D95" s="398" t="s">
        <v>122</v>
      </c>
      <c r="E95" s="377" t="s">
        <v>92</v>
      </c>
      <c r="F95" s="341">
        <f>'Final OAP'!K95+'Final OAP'!O95+'Final OAP'!R95-'Final OAP'!U95</f>
        <v>1159900</v>
      </c>
      <c r="G95" s="341">
        <f>'Final OAP'!L95+'Final OAP'!P95+'Final OAP'!S95-'Final OAP'!V95</f>
        <v>0</v>
      </c>
      <c r="H95" s="341">
        <f>'Final OAP'!M95+'Final OAP'!Q95+'Final OAP'!T95-'Final OAP'!W95</f>
        <v>0</v>
      </c>
      <c r="I95" s="341">
        <f t="shared" si="36"/>
        <v>1159900</v>
      </c>
      <c r="J95" s="309" t="s">
        <v>59</v>
      </c>
      <c r="K95" s="360">
        <v>319</v>
      </c>
      <c r="L95" s="368">
        <f>1395156-235256</f>
        <v>1159900</v>
      </c>
      <c r="M95" s="344">
        <f t="shared" si="37"/>
        <v>0</v>
      </c>
      <c r="N95" s="372"/>
      <c r="O95" s="343">
        <f t="shared" si="38"/>
        <v>0</v>
      </c>
      <c r="P95" s="345"/>
      <c r="Q95" s="346">
        <f t="shared" si="39"/>
        <v>0</v>
      </c>
      <c r="R95" s="360">
        <v>2919</v>
      </c>
      <c r="S95" s="361">
        <v>43493</v>
      </c>
      <c r="T95" s="306" t="s">
        <v>552</v>
      </c>
      <c r="U95" s="306" t="s">
        <v>553</v>
      </c>
      <c r="V95" s="368">
        <v>1159900</v>
      </c>
      <c r="W95" s="350">
        <f t="shared" si="40"/>
        <v>0</v>
      </c>
      <c r="X95" s="368">
        <v>1159900</v>
      </c>
      <c r="Y95" s="368"/>
      <c r="Z95" s="351">
        <f t="shared" si="41"/>
        <v>0</v>
      </c>
      <c r="AA95" s="368"/>
      <c r="AB95" s="369"/>
      <c r="AC95" s="353">
        <f t="shared" si="42"/>
        <v>0</v>
      </c>
      <c r="AD95" s="354"/>
    </row>
    <row r="96" spans="1:30" s="322" customFormat="1" ht="60.75" customHeight="1" x14ac:dyDescent="0.25">
      <c r="A96" s="338" t="s">
        <v>622</v>
      </c>
      <c r="B96" s="314">
        <v>2299062</v>
      </c>
      <c r="C96" s="315" t="s">
        <v>476</v>
      </c>
      <c r="D96" s="398" t="s">
        <v>122</v>
      </c>
      <c r="E96" s="399" t="s">
        <v>89</v>
      </c>
      <c r="F96" s="341">
        <f>'Final OAP'!K96+'Final OAP'!O96+'Final OAP'!R96-'Final OAP'!U96</f>
        <v>0</v>
      </c>
      <c r="G96" s="341">
        <f>'Final OAP'!L96+'Final OAP'!P96+'Final OAP'!S96-'Final OAP'!V96</f>
        <v>0</v>
      </c>
      <c r="H96" s="341">
        <f>'Final OAP'!M96+'Final OAP'!Q96+'Final OAP'!T96-'Final OAP'!W96</f>
        <v>0</v>
      </c>
      <c r="I96" s="341">
        <f t="shared" si="36"/>
        <v>0</v>
      </c>
      <c r="J96" s="309" t="s">
        <v>59</v>
      </c>
      <c r="K96" s="400"/>
      <c r="L96" s="401"/>
      <c r="M96" s="344">
        <f t="shared" si="37"/>
        <v>0</v>
      </c>
      <c r="N96" s="346"/>
      <c r="O96" s="343">
        <f t="shared" si="38"/>
        <v>0</v>
      </c>
      <c r="P96" s="345"/>
      <c r="Q96" s="346">
        <f t="shared" si="39"/>
        <v>0</v>
      </c>
      <c r="R96" s="360"/>
      <c r="S96" s="361"/>
      <c r="T96" s="306"/>
      <c r="U96" s="306"/>
      <c r="V96" s="369"/>
      <c r="W96" s="350">
        <f t="shared" si="40"/>
        <v>0</v>
      </c>
      <c r="X96" s="368"/>
      <c r="Y96" s="368"/>
      <c r="Z96" s="351">
        <f t="shared" si="41"/>
        <v>0</v>
      </c>
      <c r="AA96" s="368"/>
      <c r="AB96" s="369"/>
      <c r="AC96" s="353">
        <f t="shared" si="42"/>
        <v>0</v>
      </c>
      <c r="AD96" s="354"/>
    </row>
    <row r="97" spans="1:30" ht="40.5" customHeight="1" x14ac:dyDescent="0.3">
      <c r="A97" s="338" t="s">
        <v>622</v>
      </c>
      <c r="B97" s="314">
        <v>2299062</v>
      </c>
      <c r="C97" s="315" t="s">
        <v>476</v>
      </c>
      <c r="D97" s="398" t="s">
        <v>122</v>
      </c>
      <c r="E97" s="306" t="s">
        <v>747</v>
      </c>
      <c r="F97" s="341">
        <f>'Final OAP'!K97+'Final OAP'!O97+'Final OAP'!R97-'Final OAP'!U97</f>
        <v>0</v>
      </c>
      <c r="G97" s="341">
        <f>'Final OAP'!L97+'Final OAP'!P97+'Final OAP'!S97-'Final OAP'!V97</f>
        <v>16500000</v>
      </c>
      <c r="H97" s="341">
        <f>'Final OAP'!M97+'Final OAP'!Q97+'Final OAP'!T97-'Final OAP'!W97</f>
        <v>0</v>
      </c>
      <c r="I97" s="341">
        <f t="shared" si="36"/>
        <v>16500000</v>
      </c>
      <c r="J97" s="309" t="s">
        <v>59</v>
      </c>
      <c r="K97" s="519">
        <v>10219</v>
      </c>
      <c r="L97" s="343"/>
      <c r="M97" s="344">
        <f t="shared" si="37"/>
        <v>0</v>
      </c>
      <c r="N97" s="346">
        <f>18436766-1936766</f>
        <v>16500000</v>
      </c>
      <c r="O97" s="343">
        <f t="shared" si="38"/>
        <v>0</v>
      </c>
      <c r="P97" s="345"/>
      <c r="Q97" s="346">
        <f t="shared" si="39"/>
        <v>0</v>
      </c>
      <c r="R97" s="360">
        <v>19819</v>
      </c>
      <c r="S97" s="361">
        <v>43605</v>
      </c>
      <c r="T97" s="306" t="s">
        <v>783</v>
      </c>
      <c r="U97" s="306" t="s">
        <v>782</v>
      </c>
      <c r="V97" s="369"/>
      <c r="W97" s="350">
        <f t="shared" si="40"/>
        <v>0</v>
      </c>
      <c r="X97" s="343"/>
      <c r="Y97" s="368">
        <v>16500000</v>
      </c>
      <c r="Z97" s="351">
        <f t="shared" si="41"/>
        <v>0</v>
      </c>
      <c r="AA97" s="343">
        <v>16500000</v>
      </c>
      <c r="AB97" s="369"/>
      <c r="AC97" s="353">
        <f t="shared" si="42"/>
        <v>0</v>
      </c>
      <c r="AD97" s="354"/>
    </row>
    <row r="98" spans="1:30" s="322" customFormat="1" ht="60.75" customHeight="1" x14ac:dyDescent="0.3">
      <c r="A98" s="338" t="s">
        <v>623</v>
      </c>
      <c r="B98" s="314">
        <v>2299062</v>
      </c>
      <c r="C98" s="315" t="s">
        <v>476</v>
      </c>
      <c r="D98" s="398" t="s">
        <v>122</v>
      </c>
      <c r="E98" s="306" t="s">
        <v>310</v>
      </c>
      <c r="F98" s="341">
        <f>'Final OAP'!K98+'Final OAP'!O98+'Final OAP'!R98-'Final OAP'!U98</f>
        <v>0</v>
      </c>
      <c r="G98" s="341">
        <f>'Final OAP'!L98+'Final OAP'!P98+'Final OAP'!S98-'Final OAP'!V98</f>
        <v>6970000</v>
      </c>
      <c r="H98" s="341">
        <f>'Final OAP'!M98+'Final OAP'!Q98+'Final OAP'!T98-'Final OAP'!W98</f>
        <v>0</v>
      </c>
      <c r="I98" s="341">
        <f t="shared" si="36"/>
        <v>6970000</v>
      </c>
      <c r="J98" s="309" t="s">
        <v>59</v>
      </c>
      <c r="K98" s="364">
        <v>11719</v>
      </c>
      <c r="L98" s="366"/>
      <c r="M98" s="344">
        <f t="shared" si="37"/>
        <v>0</v>
      </c>
      <c r="N98" s="346">
        <f>7000000-30000</f>
        <v>6970000</v>
      </c>
      <c r="O98" s="343">
        <f t="shared" si="38"/>
        <v>0</v>
      </c>
      <c r="P98" s="345"/>
      <c r="Q98" s="346">
        <f t="shared" si="39"/>
        <v>0</v>
      </c>
      <c r="R98" s="364">
        <v>23819</v>
      </c>
      <c r="S98" s="395">
        <v>43621</v>
      </c>
      <c r="T98" s="364" t="s">
        <v>800</v>
      </c>
      <c r="U98" s="364" t="s">
        <v>801</v>
      </c>
      <c r="V98" s="364"/>
      <c r="W98" s="350">
        <f t="shared" si="40"/>
        <v>0</v>
      </c>
      <c r="X98" s="366"/>
      <c r="Y98" s="366">
        <v>6970000</v>
      </c>
      <c r="Z98" s="351">
        <f t="shared" si="41"/>
        <v>0</v>
      </c>
      <c r="AA98" s="366">
        <f>340000+510000+255000</f>
        <v>1105000</v>
      </c>
      <c r="AB98" s="392"/>
      <c r="AC98" s="353">
        <f t="shared" si="42"/>
        <v>0</v>
      </c>
      <c r="AD98" s="354"/>
    </row>
    <row r="99" spans="1:30" s="322" customFormat="1" ht="141.75" customHeight="1" x14ac:dyDescent="0.3">
      <c r="A99" s="338" t="s">
        <v>602</v>
      </c>
      <c r="B99" s="314">
        <v>2299062</v>
      </c>
      <c r="C99" s="315" t="s">
        <v>476</v>
      </c>
      <c r="D99" s="398" t="s">
        <v>122</v>
      </c>
      <c r="E99" s="306" t="s">
        <v>317</v>
      </c>
      <c r="F99" s="341">
        <f>'Final OAP'!K99+'Final OAP'!O99+'Final OAP'!R99-'Final OAP'!U99</f>
        <v>0</v>
      </c>
      <c r="G99" s="341">
        <f>'Final OAP'!L99+'Final OAP'!P99+'Final OAP'!S99-'Final OAP'!V99</f>
        <v>5000000</v>
      </c>
      <c r="H99" s="341">
        <f>'Final OAP'!M99+'Final OAP'!Q99+'Final OAP'!T99-'Final OAP'!W99</f>
        <v>0</v>
      </c>
      <c r="I99" s="341">
        <f t="shared" si="36"/>
        <v>5000000</v>
      </c>
      <c r="J99" s="309" t="s">
        <v>59</v>
      </c>
      <c r="K99" s="364">
        <v>12719</v>
      </c>
      <c r="L99" s="366"/>
      <c r="M99" s="344">
        <f t="shared" si="37"/>
        <v>0</v>
      </c>
      <c r="N99" s="346">
        <v>5000000</v>
      </c>
      <c r="O99" s="343">
        <f t="shared" si="38"/>
        <v>0</v>
      </c>
      <c r="P99" s="345"/>
      <c r="Q99" s="346">
        <f t="shared" si="39"/>
        <v>0</v>
      </c>
      <c r="R99" s="364">
        <v>24619</v>
      </c>
      <c r="S99" s="395">
        <v>43622</v>
      </c>
      <c r="T99" s="364" t="s">
        <v>803</v>
      </c>
      <c r="U99" s="364" t="s">
        <v>802</v>
      </c>
      <c r="V99" s="364"/>
      <c r="W99" s="350">
        <f t="shared" si="40"/>
        <v>0</v>
      </c>
      <c r="X99" s="366"/>
      <c r="Y99" s="366">
        <v>5000000</v>
      </c>
      <c r="Z99" s="351">
        <f t="shared" si="41"/>
        <v>0</v>
      </c>
      <c r="AA99" s="366">
        <f>462882+1234351+848616</f>
        <v>2545849</v>
      </c>
      <c r="AB99" s="392"/>
      <c r="AC99" s="353">
        <f t="shared" si="42"/>
        <v>0</v>
      </c>
      <c r="AD99" s="354"/>
    </row>
    <row r="100" spans="1:30" s="322" customFormat="1" ht="40.5" customHeight="1" x14ac:dyDescent="0.3">
      <c r="A100" s="338" t="s">
        <v>604</v>
      </c>
      <c r="B100" s="314">
        <v>2299062</v>
      </c>
      <c r="C100" s="315" t="s">
        <v>476</v>
      </c>
      <c r="D100" s="398" t="s">
        <v>122</v>
      </c>
      <c r="E100" s="306" t="s">
        <v>309</v>
      </c>
      <c r="F100" s="341">
        <f>'Final OAP'!K100+'Final OAP'!O100+'Final OAP'!R100-'Final OAP'!U100</f>
        <v>0</v>
      </c>
      <c r="G100" s="341">
        <f>'Final OAP'!L100+'Final OAP'!P100+'Final OAP'!S100-'Final OAP'!V100</f>
        <v>0</v>
      </c>
      <c r="H100" s="341">
        <f>'Final OAP'!M100+'Final OAP'!Q100+'Final OAP'!T100-'Final OAP'!W100</f>
        <v>0</v>
      </c>
      <c r="I100" s="341">
        <f t="shared" si="36"/>
        <v>0</v>
      </c>
      <c r="J100" s="309" t="s">
        <v>59</v>
      </c>
      <c r="K100" s="364"/>
      <c r="L100" s="366"/>
      <c r="M100" s="344">
        <f t="shared" si="37"/>
        <v>0</v>
      </c>
      <c r="N100" s="346"/>
      <c r="O100" s="343">
        <f t="shared" si="38"/>
        <v>0</v>
      </c>
      <c r="P100" s="345"/>
      <c r="Q100" s="346">
        <f t="shared" si="39"/>
        <v>0</v>
      </c>
      <c r="R100" s="364"/>
      <c r="S100" s="364"/>
      <c r="T100" s="364"/>
      <c r="U100" s="364"/>
      <c r="V100" s="364"/>
      <c r="W100" s="350">
        <f t="shared" si="40"/>
        <v>0</v>
      </c>
      <c r="X100" s="366"/>
      <c r="Y100" s="366"/>
      <c r="Z100" s="351">
        <f t="shared" si="41"/>
        <v>0</v>
      </c>
      <c r="AA100" s="366"/>
      <c r="AB100" s="392"/>
      <c r="AC100" s="353">
        <f t="shared" si="42"/>
        <v>0</v>
      </c>
      <c r="AD100" s="354"/>
    </row>
    <row r="101" spans="1:30" s="322" customFormat="1" ht="84.75" customHeight="1" x14ac:dyDescent="0.3">
      <c r="A101" s="338" t="s">
        <v>605</v>
      </c>
      <c r="B101" s="314">
        <v>2299062</v>
      </c>
      <c r="C101" s="315" t="s">
        <v>476</v>
      </c>
      <c r="D101" s="398" t="s">
        <v>122</v>
      </c>
      <c r="E101" s="306" t="s">
        <v>427</v>
      </c>
      <c r="F101" s="341">
        <f>'Final OAP'!K101+'Final OAP'!O101+'Final OAP'!R101-'Final OAP'!U101</f>
        <v>0</v>
      </c>
      <c r="G101" s="341">
        <f>'Final OAP'!L101+'Final OAP'!P101+'Final OAP'!S101-'Final OAP'!V101</f>
        <v>8000000</v>
      </c>
      <c r="H101" s="341">
        <f>'Final OAP'!M101+'Final OAP'!Q101+'Final OAP'!T101-'Final OAP'!W101</f>
        <v>0</v>
      </c>
      <c r="I101" s="341">
        <f t="shared" si="36"/>
        <v>8000000</v>
      </c>
      <c r="J101" s="309" t="s">
        <v>59</v>
      </c>
      <c r="K101" s="364">
        <v>33219</v>
      </c>
      <c r="L101" s="366"/>
      <c r="M101" s="344">
        <f t="shared" si="37"/>
        <v>0</v>
      </c>
      <c r="N101" s="346">
        <v>3224232</v>
      </c>
      <c r="O101" s="343">
        <f t="shared" si="38"/>
        <v>4775768</v>
      </c>
      <c r="P101" s="345"/>
      <c r="Q101" s="346">
        <f t="shared" si="39"/>
        <v>0</v>
      </c>
      <c r="R101" s="364">
        <v>52819</v>
      </c>
      <c r="S101" s="395">
        <v>43784</v>
      </c>
      <c r="T101" s="364" t="s">
        <v>1089</v>
      </c>
      <c r="U101" s="364" t="s">
        <v>1090</v>
      </c>
      <c r="V101" s="364"/>
      <c r="W101" s="350">
        <f t="shared" si="40"/>
        <v>0</v>
      </c>
      <c r="X101" s="366"/>
      <c r="Y101" s="346">
        <v>3224232</v>
      </c>
      <c r="Z101" s="351">
        <f t="shared" si="41"/>
        <v>4775768</v>
      </c>
      <c r="AA101" s="366"/>
      <c r="AB101" s="392"/>
      <c r="AC101" s="353">
        <f t="shared" si="42"/>
        <v>0</v>
      </c>
      <c r="AD101" s="354"/>
    </row>
    <row r="102" spans="1:30" s="322" customFormat="1" ht="78" customHeight="1" x14ac:dyDescent="0.3">
      <c r="A102" s="338" t="s">
        <v>605</v>
      </c>
      <c r="B102" s="314">
        <v>2299062</v>
      </c>
      <c r="C102" s="315" t="s">
        <v>476</v>
      </c>
      <c r="D102" s="398" t="s">
        <v>122</v>
      </c>
      <c r="E102" s="306" t="s">
        <v>428</v>
      </c>
      <c r="F102" s="341">
        <f>'Final OAP'!K102+'Final OAP'!O102+'Final OAP'!R102-'Final OAP'!U102</f>
        <v>0</v>
      </c>
      <c r="G102" s="341">
        <f>'Final OAP'!L102+'Final OAP'!P102+'Final OAP'!S102-'Final OAP'!V102</f>
        <v>10000000</v>
      </c>
      <c r="H102" s="341">
        <f>'Final OAP'!M102+'Final OAP'!Q102+'Final OAP'!T102-'Final OAP'!W102</f>
        <v>0</v>
      </c>
      <c r="I102" s="341">
        <f t="shared" si="36"/>
        <v>10000000</v>
      </c>
      <c r="J102" s="309" t="s">
        <v>59</v>
      </c>
      <c r="K102" s="364">
        <v>33219</v>
      </c>
      <c r="L102" s="366"/>
      <c r="M102" s="344">
        <f t="shared" si="37"/>
        <v>0</v>
      </c>
      <c r="N102" s="346">
        <v>7909967</v>
      </c>
      <c r="O102" s="343">
        <f t="shared" si="38"/>
        <v>2090033</v>
      </c>
      <c r="P102" s="345"/>
      <c r="Q102" s="346">
        <f t="shared" si="39"/>
        <v>0</v>
      </c>
      <c r="R102" s="364">
        <v>52819</v>
      </c>
      <c r="S102" s="395">
        <v>43784</v>
      </c>
      <c r="T102" s="543" t="s">
        <v>1089</v>
      </c>
      <c r="U102" s="543" t="s">
        <v>1090</v>
      </c>
      <c r="V102" s="364"/>
      <c r="W102" s="350">
        <f t="shared" si="40"/>
        <v>0</v>
      </c>
      <c r="X102" s="366"/>
      <c r="Y102" s="346">
        <v>7909967</v>
      </c>
      <c r="Z102" s="351">
        <f t="shared" si="41"/>
        <v>2090033</v>
      </c>
      <c r="AA102" s="366"/>
      <c r="AB102" s="392"/>
      <c r="AC102" s="353">
        <f t="shared" si="42"/>
        <v>0</v>
      </c>
      <c r="AD102" s="354"/>
    </row>
    <row r="103" spans="1:30" s="322" customFormat="1" ht="63" customHeight="1" x14ac:dyDescent="0.3">
      <c r="A103" s="338" t="s">
        <v>606</v>
      </c>
      <c r="B103" s="314">
        <v>2299062</v>
      </c>
      <c r="C103" s="315" t="s">
        <v>476</v>
      </c>
      <c r="D103" s="398" t="s">
        <v>122</v>
      </c>
      <c r="E103" s="306" t="s">
        <v>429</v>
      </c>
      <c r="F103" s="341">
        <f>'Final OAP'!K103+'Final OAP'!O103+'Final OAP'!R103-'Final OAP'!U103</f>
        <v>11448608</v>
      </c>
      <c r="G103" s="341">
        <f>'Final OAP'!L103+'Final OAP'!P103+'Final OAP'!S103-'Final OAP'!V103</f>
        <v>0</v>
      </c>
      <c r="H103" s="341">
        <f>'Final OAP'!M103+'Final OAP'!Q103+'Final OAP'!T103-'Final OAP'!W103</f>
        <v>0</v>
      </c>
      <c r="I103" s="341">
        <f t="shared" si="36"/>
        <v>11448608</v>
      </c>
      <c r="J103" s="309" t="s">
        <v>59</v>
      </c>
      <c r="K103" s="364">
        <v>23319</v>
      </c>
      <c r="L103" s="366">
        <f>14788131-3339523</f>
        <v>11448608</v>
      </c>
      <c r="M103" s="344">
        <f t="shared" si="37"/>
        <v>0</v>
      </c>
      <c r="N103" s="346"/>
      <c r="O103" s="343">
        <f t="shared" si="38"/>
        <v>0</v>
      </c>
      <c r="P103" s="345"/>
      <c r="Q103" s="346">
        <f t="shared" si="39"/>
        <v>0</v>
      </c>
      <c r="R103" s="364">
        <v>44719</v>
      </c>
      <c r="S103" s="395">
        <v>43731</v>
      </c>
      <c r="T103" s="364" t="s">
        <v>991</v>
      </c>
      <c r="U103" s="483" t="s">
        <v>802</v>
      </c>
      <c r="V103" s="366">
        <v>11448608</v>
      </c>
      <c r="W103" s="350">
        <f t="shared" si="40"/>
        <v>0</v>
      </c>
      <c r="X103" s="366"/>
      <c r="Y103" s="366"/>
      <c r="Z103" s="351">
        <f t="shared" si="41"/>
        <v>0</v>
      </c>
      <c r="AA103" s="366"/>
      <c r="AB103" s="392"/>
      <c r="AC103" s="353">
        <f t="shared" si="42"/>
        <v>0</v>
      </c>
      <c r="AD103" s="354"/>
    </row>
    <row r="104" spans="1:30" s="322" customFormat="1" ht="69" customHeight="1" x14ac:dyDescent="0.3">
      <c r="A104" s="492" t="s">
        <v>497</v>
      </c>
      <c r="B104" s="314">
        <v>2299062</v>
      </c>
      <c r="C104" s="492" t="s">
        <v>476</v>
      </c>
      <c r="D104" s="398" t="s">
        <v>122</v>
      </c>
      <c r="E104" s="306" t="s">
        <v>1011</v>
      </c>
      <c r="F104" s="341">
        <f>'Final OAP'!K104+'Final OAP'!O104+'Final OAP'!R104-'Final OAP'!U104</f>
        <v>8000000</v>
      </c>
      <c r="G104" s="341">
        <f>'Final OAP'!L104+'Final OAP'!P104+'Final OAP'!S104-'Final OAP'!V104</f>
        <v>0</v>
      </c>
      <c r="H104" s="341">
        <f>'Final OAP'!M104+'Final OAP'!Q104+'Final OAP'!T104-'Final OAP'!W104</f>
        <v>0</v>
      </c>
      <c r="I104" s="341">
        <f t="shared" ref="I104" si="43">+G104+H104+F104</f>
        <v>8000000</v>
      </c>
      <c r="J104" s="309" t="s">
        <v>59</v>
      </c>
      <c r="K104" s="493"/>
      <c r="L104" s="366"/>
      <c r="M104" s="344">
        <f t="shared" ref="M104" si="44">F104-L104</f>
        <v>8000000</v>
      </c>
      <c r="N104" s="346"/>
      <c r="O104" s="343">
        <f t="shared" ref="O104" si="45">+G104-N104</f>
        <v>0</v>
      </c>
      <c r="P104" s="345"/>
      <c r="Q104" s="346">
        <f t="shared" ref="Q104" si="46">H104-P104</f>
        <v>0</v>
      </c>
      <c r="R104" s="493"/>
      <c r="S104" s="395"/>
      <c r="T104" s="493"/>
      <c r="U104" s="493"/>
      <c r="V104" s="366"/>
      <c r="W104" s="350">
        <f t="shared" ref="W104" si="47">F104-V104</f>
        <v>8000000</v>
      </c>
      <c r="X104" s="366"/>
      <c r="Y104" s="366"/>
      <c r="Z104" s="351">
        <f t="shared" ref="Z104" si="48">G104-Y104</f>
        <v>0</v>
      </c>
      <c r="AA104" s="366"/>
      <c r="AB104" s="392"/>
      <c r="AC104" s="353">
        <f t="shared" ref="AC104" si="49">H104-AB104</f>
        <v>0</v>
      </c>
      <c r="AD104" s="354"/>
    </row>
    <row r="105" spans="1:30" ht="60.75" customHeight="1" x14ac:dyDescent="0.3">
      <c r="A105" s="338" t="s">
        <v>606</v>
      </c>
      <c r="B105" s="314">
        <v>2299062</v>
      </c>
      <c r="C105" s="315" t="s">
        <v>476</v>
      </c>
      <c r="D105" s="398" t="s">
        <v>122</v>
      </c>
      <c r="E105" s="306" t="s">
        <v>311</v>
      </c>
      <c r="F105" s="341">
        <f>'Final OAP'!K105+'Final OAP'!O105+'Final OAP'!R105-'Final OAP'!U105</f>
        <v>3759054</v>
      </c>
      <c r="G105" s="341">
        <f>'Final OAP'!L105+'Final OAP'!P105+'Final OAP'!S105-'Final OAP'!V105</f>
        <v>61758</v>
      </c>
      <c r="H105" s="341">
        <f>'Final OAP'!M105+'Final OAP'!Q105+'Final OAP'!T105-'Final OAP'!W105</f>
        <v>0</v>
      </c>
      <c r="I105" s="341">
        <f t="shared" si="36"/>
        <v>3820812</v>
      </c>
      <c r="J105" s="309" t="s">
        <v>59</v>
      </c>
      <c r="K105" s="530" t="s">
        <v>1002</v>
      </c>
      <c r="L105" s="366">
        <v>3759054</v>
      </c>
      <c r="M105" s="344">
        <f t="shared" si="37"/>
        <v>0</v>
      </c>
      <c r="N105" s="346">
        <v>61758</v>
      </c>
      <c r="O105" s="343">
        <f t="shared" si="38"/>
        <v>0</v>
      </c>
      <c r="P105" s="345"/>
      <c r="Q105" s="346">
        <f t="shared" si="39"/>
        <v>0</v>
      </c>
      <c r="R105" s="364">
        <v>10719</v>
      </c>
      <c r="S105" s="395">
        <v>43542</v>
      </c>
      <c r="T105" s="364" t="s">
        <v>727</v>
      </c>
      <c r="U105" s="364" t="s">
        <v>728</v>
      </c>
      <c r="V105" s="366">
        <v>3759054</v>
      </c>
      <c r="W105" s="350">
        <f t="shared" si="40"/>
        <v>0</v>
      </c>
      <c r="X105" s="366">
        <f>427626+477601+477601+527576+477601+477601</f>
        <v>2865606</v>
      </c>
      <c r="Y105" s="366">
        <v>61758</v>
      </c>
      <c r="Z105" s="351">
        <f t="shared" si="41"/>
        <v>0</v>
      </c>
      <c r="AA105" s="366"/>
      <c r="AB105" s="392"/>
      <c r="AC105" s="353">
        <f t="shared" si="42"/>
        <v>0</v>
      </c>
      <c r="AD105" s="354"/>
    </row>
    <row r="106" spans="1:30" ht="40.5" customHeight="1" x14ac:dyDescent="0.3">
      <c r="A106" s="315" t="s">
        <v>465</v>
      </c>
      <c r="B106" s="314">
        <v>2299062</v>
      </c>
      <c r="C106" s="315" t="s">
        <v>476</v>
      </c>
      <c r="D106" s="367" t="s">
        <v>123</v>
      </c>
      <c r="E106" s="306" t="s">
        <v>91</v>
      </c>
      <c r="F106" s="341">
        <f>'Final OAP'!K106+'Final OAP'!O106+'Final OAP'!R106-'Final OAP'!U106</f>
        <v>8000000</v>
      </c>
      <c r="G106" s="341">
        <f>'Final OAP'!L106+'Final OAP'!P106+'Final OAP'!S106-'Final OAP'!V106</f>
        <v>2002840</v>
      </c>
      <c r="H106" s="341">
        <f>'Final OAP'!M106+'Final OAP'!Q106+'Final OAP'!T106-'Final OAP'!W106</f>
        <v>0</v>
      </c>
      <c r="I106" s="341">
        <f t="shared" si="36"/>
        <v>10002840</v>
      </c>
      <c r="J106" s="309" t="s">
        <v>59</v>
      </c>
      <c r="K106" s="360">
        <v>15119</v>
      </c>
      <c r="L106" s="368">
        <v>8000000</v>
      </c>
      <c r="M106" s="344">
        <f t="shared" si="37"/>
        <v>0</v>
      </c>
      <c r="N106" s="346">
        <f>6420995-4418155</f>
        <v>2002840</v>
      </c>
      <c r="O106" s="343">
        <f t="shared" si="38"/>
        <v>0</v>
      </c>
      <c r="P106" s="345"/>
      <c r="Q106" s="346">
        <f t="shared" si="39"/>
        <v>0</v>
      </c>
      <c r="R106" s="360">
        <v>29719</v>
      </c>
      <c r="S106" s="361">
        <v>43654</v>
      </c>
      <c r="T106" s="306" t="s">
        <v>830</v>
      </c>
      <c r="U106" s="306" t="s">
        <v>802</v>
      </c>
      <c r="V106" s="369">
        <v>8000000</v>
      </c>
      <c r="W106" s="350">
        <f t="shared" si="40"/>
        <v>0</v>
      </c>
      <c r="X106" s="366">
        <v>8000000</v>
      </c>
      <c r="Y106" s="368">
        <v>2002840</v>
      </c>
      <c r="Z106" s="351">
        <f t="shared" si="41"/>
        <v>0</v>
      </c>
      <c r="AA106" s="366">
        <v>2002840</v>
      </c>
      <c r="AB106" s="369"/>
      <c r="AC106" s="353">
        <f t="shared" si="42"/>
        <v>0</v>
      </c>
      <c r="AD106" s="354"/>
    </row>
    <row r="107" spans="1:30" ht="60.75" customHeight="1" x14ac:dyDescent="0.3">
      <c r="A107" s="338" t="s">
        <v>605</v>
      </c>
      <c r="B107" s="314">
        <v>2299062</v>
      </c>
      <c r="C107" s="315" t="s">
        <v>476</v>
      </c>
      <c r="D107" s="367" t="s">
        <v>123</v>
      </c>
      <c r="E107" s="306" t="s">
        <v>90</v>
      </c>
      <c r="F107" s="341">
        <f>'Final OAP'!K107+'Final OAP'!O107+'Final OAP'!R107-'Final OAP'!U107</f>
        <v>0</v>
      </c>
      <c r="G107" s="341">
        <f>'Final OAP'!L107+'Final OAP'!P107+'Final OAP'!S107-'Final OAP'!V107</f>
        <v>0</v>
      </c>
      <c r="H107" s="341">
        <f>'Final OAP'!M107+'Final OAP'!Q107+'Final OAP'!T107-'Final OAP'!W107</f>
        <v>0</v>
      </c>
      <c r="I107" s="341">
        <f t="shared" si="36"/>
        <v>0</v>
      </c>
      <c r="J107" s="309" t="s">
        <v>59</v>
      </c>
      <c r="K107" s="360"/>
      <c r="L107" s="368"/>
      <c r="M107" s="344">
        <f t="shared" si="37"/>
        <v>0</v>
      </c>
      <c r="N107" s="346"/>
      <c r="O107" s="343">
        <f t="shared" si="38"/>
        <v>0</v>
      </c>
      <c r="P107" s="345"/>
      <c r="Q107" s="346">
        <f t="shared" si="39"/>
        <v>0</v>
      </c>
      <c r="R107" s="360"/>
      <c r="S107" s="361"/>
      <c r="T107" s="402"/>
      <c r="U107" s="306"/>
      <c r="V107" s="369"/>
      <c r="W107" s="350">
        <f t="shared" si="40"/>
        <v>0</v>
      </c>
      <c r="X107" s="368"/>
      <c r="Y107" s="368"/>
      <c r="Z107" s="351">
        <f t="shared" si="41"/>
        <v>0</v>
      </c>
      <c r="AA107" s="368"/>
      <c r="AB107" s="369"/>
      <c r="AC107" s="353">
        <f t="shared" si="42"/>
        <v>0</v>
      </c>
      <c r="AD107" s="354"/>
    </row>
    <row r="108" spans="1:30" ht="40.5" customHeight="1" x14ac:dyDescent="0.3">
      <c r="A108" s="338" t="s">
        <v>622</v>
      </c>
      <c r="B108" s="314">
        <v>2299062</v>
      </c>
      <c r="C108" s="315" t="s">
        <v>476</v>
      </c>
      <c r="D108" s="367" t="s">
        <v>123</v>
      </c>
      <c r="E108" s="306" t="s">
        <v>126</v>
      </c>
      <c r="F108" s="341">
        <f>'Final OAP'!K108+'Final OAP'!O108+'Final OAP'!R108-'Final OAP'!U108</f>
        <v>0</v>
      </c>
      <c r="G108" s="341">
        <f>'Final OAP'!L108+'Final OAP'!P108+'Final OAP'!S108-'Final OAP'!V108</f>
        <v>8377600</v>
      </c>
      <c r="H108" s="341">
        <f>'Final OAP'!M108+'Final OAP'!Q108+'Final OAP'!T108-'Final OAP'!W108</f>
        <v>0</v>
      </c>
      <c r="I108" s="341">
        <f t="shared" si="36"/>
        <v>8377600</v>
      </c>
      <c r="J108" s="309" t="s">
        <v>59</v>
      </c>
      <c r="K108" s="364">
        <v>8319</v>
      </c>
      <c r="L108" s="368"/>
      <c r="M108" s="344">
        <f t="shared" ref="M108:M140" si="50">F108-L108</f>
        <v>0</v>
      </c>
      <c r="N108" s="343">
        <f>10228288-1850688</f>
        <v>8377600</v>
      </c>
      <c r="O108" s="343">
        <f t="shared" ref="O108:O140" si="51">+G108-N108</f>
        <v>0</v>
      </c>
      <c r="P108" s="345"/>
      <c r="Q108" s="346">
        <f t="shared" ref="Q108:Q140" si="52">H108-P108</f>
        <v>0</v>
      </c>
      <c r="R108" s="360">
        <v>15419</v>
      </c>
      <c r="S108" s="361">
        <v>43571</v>
      </c>
      <c r="T108" s="306" t="s">
        <v>765</v>
      </c>
      <c r="U108" s="306" t="s">
        <v>764</v>
      </c>
      <c r="V108" s="369"/>
      <c r="W108" s="350">
        <f t="shared" si="40"/>
        <v>0</v>
      </c>
      <c r="X108" s="368"/>
      <c r="Y108" s="368">
        <v>8377600</v>
      </c>
      <c r="Z108" s="351">
        <f t="shared" si="41"/>
        <v>0</v>
      </c>
      <c r="AA108" s="368">
        <v>8377600</v>
      </c>
      <c r="AB108" s="369"/>
      <c r="AC108" s="353">
        <f t="shared" si="42"/>
        <v>0</v>
      </c>
      <c r="AD108" s="354"/>
    </row>
    <row r="109" spans="1:30" ht="121.5" customHeight="1" x14ac:dyDescent="0.3">
      <c r="A109" s="384" t="s">
        <v>627</v>
      </c>
      <c r="B109" s="403">
        <v>2299062</v>
      </c>
      <c r="C109" s="315" t="s">
        <v>476</v>
      </c>
      <c r="D109" s="367" t="s">
        <v>123</v>
      </c>
      <c r="E109" s="377" t="s">
        <v>504</v>
      </c>
      <c r="F109" s="341">
        <f>'Final OAP'!K109+'Final OAP'!O109+'Final OAP'!R109-'Final OAP'!U109</f>
        <v>40852559</v>
      </c>
      <c r="G109" s="341">
        <f>'Final OAP'!L109+'Final OAP'!P109+'Final OAP'!S109-'Final OAP'!V109</f>
        <v>17000000</v>
      </c>
      <c r="H109" s="341">
        <f>'Final OAP'!M109+'Final OAP'!Q109+'Final OAP'!T109-'Final OAP'!W109</f>
        <v>0</v>
      </c>
      <c r="I109" s="341">
        <f t="shared" si="36"/>
        <v>57852559</v>
      </c>
      <c r="J109" s="309" t="s">
        <v>59</v>
      </c>
      <c r="K109" s="360" t="s">
        <v>752</v>
      </c>
      <c r="L109" s="368">
        <f>17868500+22984059</f>
        <v>40852559</v>
      </c>
      <c r="M109" s="344">
        <f t="shared" si="50"/>
        <v>0</v>
      </c>
      <c r="N109" s="372">
        <v>17000000</v>
      </c>
      <c r="O109" s="343">
        <f t="shared" si="51"/>
        <v>0</v>
      </c>
      <c r="P109" s="345"/>
      <c r="Q109" s="346">
        <f t="shared" si="52"/>
        <v>0</v>
      </c>
      <c r="R109" s="360" t="s">
        <v>766</v>
      </c>
      <c r="S109" s="361" t="s">
        <v>767</v>
      </c>
      <c r="T109" s="386" t="s">
        <v>769</v>
      </c>
      <c r="U109" s="306" t="s">
        <v>768</v>
      </c>
      <c r="V109" s="368">
        <f>17868500+22984059</f>
        <v>40852559</v>
      </c>
      <c r="W109" s="350">
        <f t="shared" si="40"/>
        <v>0</v>
      </c>
      <c r="X109" s="368">
        <f>17868500+4997332+3750944+3778484+4036591.78+5825291</f>
        <v>40257142.780000001</v>
      </c>
      <c r="Y109" s="368">
        <v>17000000</v>
      </c>
      <c r="Z109" s="351">
        <f t="shared" si="41"/>
        <v>0</v>
      </c>
      <c r="AA109" s="368"/>
      <c r="AB109" s="306"/>
      <c r="AC109" s="353">
        <f t="shared" si="42"/>
        <v>0</v>
      </c>
      <c r="AD109" s="354"/>
    </row>
    <row r="110" spans="1:30" ht="60.75" customHeight="1" x14ac:dyDescent="0.3">
      <c r="A110" s="338" t="s">
        <v>603</v>
      </c>
      <c r="B110" s="314">
        <v>2299062</v>
      </c>
      <c r="C110" s="315" t="s">
        <v>476</v>
      </c>
      <c r="D110" s="367" t="s">
        <v>123</v>
      </c>
      <c r="E110" s="306" t="s">
        <v>141</v>
      </c>
      <c r="F110" s="341">
        <f>'Final OAP'!K110+'Final OAP'!O110+'Final OAP'!R110-'Final OAP'!U110</f>
        <v>0</v>
      </c>
      <c r="G110" s="341">
        <f>'Final OAP'!L110+'Final OAP'!P110+'Final OAP'!S110-'Final OAP'!V110</f>
        <v>17998712</v>
      </c>
      <c r="H110" s="341">
        <f>'Final OAP'!M110+'Final OAP'!Q110+'Final OAP'!T110-'Final OAP'!W110</f>
        <v>0</v>
      </c>
      <c r="I110" s="341">
        <f t="shared" si="36"/>
        <v>17998712</v>
      </c>
      <c r="J110" s="309" t="s">
        <v>59</v>
      </c>
      <c r="K110" s="404">
        <v>2419</v>
      </c>
      <c r="L110" s="368"/>
      <c r="M110" s="344">
        <f t="shared" si="50"/>
        <v>0</v>
      </c>
      <c r="N110" s="372">
        <v>17998712</v>
      </c>
      <c r="O110" s="343">
        <f t="shared" si="51"/>
        <v>0</v>
      </c>
      <c r="P110" s="345"/>
      <c r="Q110" s="346">
        <f t="shared" si="52"/>
        <v>0</v>
      </c>
      <c r="R110" s="360">
        <v>3419</v>
      </c>
      <c r="S110" s="361">
        <v>43496</v>
      </c>
      <c r="T110" s="306" t="s">
        <v>577</v>
      </c>
      <c r="U110" s="306" t="s">
        <v>576</v>
      </c>
      <c r="V110" s="368"/>
      <c r="W110" s="350">
        <f t="shared" si="40"/>
        <v>0</v>
      </c>
      <c r="X110" s="368"/>
      <c r="Y110" s="368">
        <v>17998712</v>
      </c>
      <c r="Z110" s="351">
        <f t="shared" si="41"/>
        <v>0</v>
      </c>
      <c r="AA110" s="368">
        <f>6713794+1622135+1932553+1311717</f>
        <v>11580199</v>
      </c>
      <c r="AB110" s="369"/>
      <c r="AC110" s="353">
        <f t="shared" si="42"/>
        <v>0</v>
      </c>
      <c r="AD110" s="354"/>
    </row>
    <row r="111" spans="1:30" ht="60.75" customHeight="1" x14ac:dyDescent="0.3">
      <c r="A111" s="338" t="s">
        <v>603</v>
      </c>
      <c r="B111" s="314">
        <v>2299062</v>
      </c>
      <c r="C111" s="315" t="s">
        <v>476</v>
      </c>
      <c r="D111" s="367" t="s">
        <v>123</v>
      </c>
      <c r="E111" s="306" t="s">
        <v>142</v>
      </c>
      <c r="F111" s="341">
        <f>'Final OAP'!K111+'Final OAP'!O111+'Final OAP'!R111-'Final OAP'!U111</f>
        <v>0</v>
      </c>
      <c r="G111" s="341">
        <f>'Final OAP'!L111+'Final OAP'!P111+'Final OAP'!S111-'Final OAP'!V111</f>
        <v>6930000</v>
      </c>
      <c r="H111" s="341">
        <f>'Final OAP'!M111+'Final OAP'!Q111+'Final OAP'!T111-'Final OAP'!W111</f>
        <v>0</v>
      </c>
      <c r="I111" s="341">
        <f t="shared" si="36"/>
        <v>6930000</v>
      </c>
      <c r="J111" s="309" t="s">
        <v>59</v>
      </c>
      <c r="K111" s="360">
        <v>13719</v>
      </c>
      <c r="L111" s="368"/>
      <c r="M111" s="344">
        <f t="shared" si="50"/>
        <v>0</v>
      </c>
      <c r="N111" s="346">
        <f>7000000-70000</f>
        <v>6930000</v>
      </c>
      <c r="O111" s="343">
        <f t="shared" si="51"/>
        <v>0</v>
      </c>
      <c r="P111" s="345"/>
      <c r="Q111" s="346">
        <f t="shared" si="52"/>
        <v>0</v>
      </c>
      <c r="R111" s="360">
        <v>25619</v>
      </c>
      <c r="S111" s="361">
        <v>43617</v>
      </c>
      <c r="T111" s="306" t="s">
        <v>804</v>
      </c>
      <c r="U111" s="306" t="s">
        <v>805</v>
      </c>
      <c r="V111" s="369"/>
      <c r="W111" s="350">
        <f t="shared" si="40"/>
        <v>0</v>
      </c>
      <c r="X111" s="368"/>
      <c r="Y111" s="368">
        <v>6930000</v>
      </c>
      <c r="Z111" s="351">
        <f t="shared" si="41"/>
        <v>0</v>
      </c>
      <c r="AA111" s="368">
        <f>1155000+630000</f>
        <v>1785000</v>
      </c>
      <c r="AB111" s="369"/>
      <c r="AC111" s="353">
        <f t="shared" si="42"/>
        <v>0</v>
      </c>
      <c r="AD111" s="354"/>
    </row>
    <row r="112" spans="1:30" ht="60.75" customHeight="1" x14ac:dyDescent="0.3">
      <c r="A112" s="338" t="s">
        <v>606</v>
      </c>
      <c r="B112" s="314">
        <v>2299062</v>
      </c>
      <c r="C112" s="315" t="s">
        <v>476</v>
      </c>
      <c r="D112" s="367" t="s">
        <v>123</v>
      </c>
      <c r="E112" s="306" t="s">
        <v>107</v>
      </c>
      <c r="F112" s="341">
        <f>'Final OAP'!K112+'Final OAP'!O112+'Final OAP'!R112-'Final OAP'!U112</f>
        <v>0</v>
      </c>
      <c r="G112" s="341">
        <f>'Final OAP'!L112+'Final OAP'!P112+'Final OAP'!S112-'Final OAP'!V112</f>
        <v>11944526</v>
      </c>
      <c r="H112" s="341">
        <f>'Final OAP'!M112+'Final OAP'!Q112+'Final OAP'!T112-'Final OAP'!W112</f>
        <v>0</v>
      </c>
      <c r="I112" s="341">
        <f t="shared" si="36"/>
        <v>11944526</v>
      </c>
      <c r="J112" s="309" t="s">
        <v>59</v>
      </c>
      <c r="K112" s="360">
        <v>14919</v>
      </c>
      <c r="L112" s="368"/>
      <c r="M112" s="344">
        <f t="shared" si="50"/>
        <v>0</v>
      </c>
      <c r="N112" s="346">
        <f>12000000-55474</f>
        <v>11944526</v>
      </c>
      <c r="O112" s="343">
        <f t="shared" si="51"/>
        <v>0</v>
      </c>
      <c r="P112" s="345"/>
      <c r="Q112" s="346">
        <f t="shared" si="52"/>
        <v>0</v>
      </c>
      <c r="R112" s="360">
        <v>26419</v>
      </c>
      <c r="S112" s="361">
        <v>43635</v>
      </c>
      <c r="T112" s="306" t="s">
        <v>806</v>
      </c>
      <c r="U112" s="306" t="s">
        <v>802</v>
      </c>
      <c r="V112" s="369"/>
      <c r="W112" s="350">
        <f t="shared" si="40"/>
        <v>0</v>
      </c>
      <c r="X112" s="368"/>
      <c r="Y112" s="368">
        <v>11944526</v>
      </c>
      <c r="Z112" s="351">
        <f t="shared" si="41"/>
        <v>0</v>
      </c>
      <c r="AA112" s="368">
        <f>613587+204529+1697234</f>
        <v>2515350</v>
      </c>
      <c r="AB112" s="369"/>
      <c r="AC112" s="353">
        <f t="shared" si="42"/>
        <v>0</v>
      </c>
      <c r="AD112" s="354"/>
    </row>
    <row r="113" spans="1:30" ht="60.75" customHeight="1" x14ac:dyDescent="0.3">
      <c r="A113" s="338" t="s">
        <v>623</v>
      </c>
      <c r="B113" s="314">
        <v>2299062</v>
      </c>
      <c r="C113" s="315" t="s">
        <v>476</v>
      </c>
      <c r="D113" s="367" t="s">
        <v>123</v>
      </c>
      <c r="E113" s="306" t="s">
        <v>106</v>
      </c>
      <c r="F113" s="341">
        <f>'Final OAP'!K113+'Final OAP'!O113+'Final OAP'!R113-'Final OAP'!U113</f>
        <v>6902000</v>
      </c>
      <c r="G113" s="341">
        <f>'Final OAP'!L113+'Final OAP'!P113+'Final OAP'!S113-'Final OAP'!V113</f>
        <v>0</v>
      </c>
      <c r="H113" s="341">
        <f>'Final OAP'!M113+'Final OAP'!Q113+'Final OAP'!T113-'Final OAP'!W113</f>
        <v>0</v>
      </c>
      <c r="I113" s="341">
        <f t="shared" si="36"/>
        <v>6902000</v>
      </c>
      <c r="J113" s="309" t="s">
        <v>59</v>
      </c>
      <c r="K113" s="386">
        <v>10519</v>
      </c>
      <c r="L113" s="368">
        <f>7000000-98000</f>
        <v>6902000</v>
      </c>
      <c r="M113" s="344">
        <f t="shared" si="50"/>
        <v>0</v>
      </c>
      <c r="N113" s="346"/>
      <c r="O113" s="343">
        <f t="shared" si="51"/>
        <v>0</v>
      </c>
      <c r="P113" s="345"/>
      <c r="Q113" s="346">
        <f t="shared" si="52"/>
        <v>0</v>
      </c>
      <c r="R113" s="360">
        <v>20519</v>
      </c>
      <c r="S113" s="361">
        <v>43606</v>
      </c>
      <c r="T113" s="306" t="s">
        <v>780</v>
      </c>
      <c r="U113" s="306" t="s">
        <v>781</v>
      </c>
      <c r="V113" s="369">
        <v>6902000</v>
      </c>
      <c r="W113" s="350">
        <f t="shared" si="40"/>
        <v>0</v>
      </c>
      <c r="X113" s="368">
        <f>238000+476000+357000+297500</f>
        <v>1368500</v>
      </c>
      <c r="Y113" s="368"/>
      <c r="Z113" s="351">
        <f t="shared" si="41"/>
        <v>0</v>
      </c>
      <c r="AA113" s="368"/>
      <c r="AB113" s="369"/>
      <c r="AC113" s="353">
        <f t="shared" si="42"/>
        <v>0</v>
      </c>
      <c r="AD113" s="354"/>
    </row>
    <row r="114" spans="1:30" ht="40.5" customHeight="1" x14ac:dyDescent="0.3">
      <c r="A114" s="338" t="s">
        <v>593</v>
      </c>
      <c r="B114" s="314">
        <v>2299062</v>
      </c>
      <c r="C114" s="315" t="s">
        <v>476</v>
      </c>
      <c r="D114" s="367" t="s">
        <v>123</v>
      </c>
      <c r="E114" s="306" t="s">
        <v>105</v>
      </c>
      <c r="F114" s="341">
        <f>'Final OAP'!K114+'Final OAP'!O114+'Final OAP'!R114-'Final OAP'!U114</f>
        <v>6000000</v>
      </c>
      <c r="G114" s="341">
        <f>'Final OAP'!L114+'Final OAP'!P114+'Final OAP'!S114-'Final OAP'!V114</f>
        <v>0</v>
      </c>
      <c r="H114" s="341">
        <f>'Final OAP'!M114+'Final OAP'!Q114+'Final OAP'!T114-'Final OAP'!W114</f>
        <v>0</v>
      </c>
      <c r="I114" s="341">
        <f t="shared" si="36"/>
        <v>6000000</v>
      </c>
      <c r="J114" s="309" t="s">
        <v>59</v>
      </c>
      <c r="K114" s="360">
        <v>9619</v>
      </c>
      <c r="L114" s="368">
        <v>6000000</v>
      </c>
      <c r="M114" s="344">
        <f t="shared" si="50"/>
        <v>0</v>
      </c>
      <c r="N114" s="346"/>
      <c r="O114" s="343">
        <f t="shared" si="51"/>
        <v>0</v>
      </c>
      <c r="P114" s="345"/>
      <c r="Q114" s="346">
        <f t="shared" si="52"/>
        <v>0</v>
      </c>
      <c r="R114" s="360">
        <v>18919</v>
      </c>
      <c r="S114" s="361">
        <v>43594</v>
      </c>
      <c r="T114" s="306" t="s">
        <v>779</v>
      </c>
      <c r="U114" s="306" t="s">
        <v>764</v>
      </c>
      <c r="V114" s="369">
        <v>6000000</v>
      </c>
      <c r="W114" s="350">
        <f t="shared" si="40"/>
        <v>0</v>
      </c>
      <c r="X114" s="368">
        <f>357000+1547000</f>
        <v>1904000</v>
      </c>
      <c r="Y114" s="368"/>
      <c r="Z114" s="351">
        <f t="shared" si="41"/>
        <v>0</v>
      </c>
      <c r="AA114" s="368"/>
      <c r="AB114" s="369"/>
      <c r="AC114" s="353">
        <f t="shared" si="42"/>
        <v>0</v>
      </c>
      <c r="AD114" s="354"/>
    </row>
    <row r="115" spans="1:30" ht="81" customHeight="1" x14ac:dyDescent="0.3">
      <c r="A115" s="384" t="s">
        <v>624</v>
      </c>
      <c r="B115" s="314">
        <v>2299062</v>
      </c>
      <c r="C115" s="315" t="s">
        <v>476</v>
      </c>
      <c r="D115" s="367" t="s">
        <v>123</v>
      </c>
      <c r="E115" s="306" t="s">
        <v>104</v>
      </c>
      <c r="F115" s="341">
        <f>'Final OAP'!K115+'Final OAP'!O115+'Final OAP'!R115-'Final OAP'!U115</f>
        <v>0</v>
      </c>
      <c r="G115" s="341">
        <f>'Final OAP'!L115+'Final OAP'!P115+'Final OAP'!S115-'Final OAP'!V115</f>
        <v>24255000</v>
      </c>
      <c r="H115" s="341">
        <f>'Final OAP'!M115+'Final OAP'!Q115+'Final OAP'!T115-'Final OAP'!W115</f>
        <v>0</v>
      </c>
      <c r="I115" s="341">
        <f t="shared" si="36"/>
        <v>24255000</v>
      </c>
      <c r="J115" s="309" t="s">
        <v>59</v>
      </c>
      <c r="K115" s="360">
        <v>2819</v>
      </c>
      <c r="L115" s="368"/>
      <c r="M115" s="344">
        <f t="shared" si="50"/>
        <v>0</v>
      </c>
      <c r="N115" s="372">
        <v>24255000</v>
      </c>
      <c r="O115" s="343">
        <f t="shared" si="51"/>
        <v>0</v>
      </c>
      <c r="P115" s="345"/>
      <c r="Q115" s="346">
        <f t="shared" si="52"/>
        <v>0</v>
      </c>
      <c r="R115" s="360">
        <v>3719</v>
      </c>
      <c r="S115" s="361">
        <v>43497</v>
      </c>
      <c r="T115" s="306" t="s">
        <v>575</v>
      </c>
      <c r="U115" s="306" t="s">
        <v>574</v>
      </c>
      <c r="V115" s="368"/>
      <c r="W115" s="350">
        <f t="shared" si="40"/>
        <v>0</v>
      </c>
      <c r="X115" s="368"/>
      <c r="Y115" s="368">
        <v>24255000</v>
      </c>
      <c r="Z115" s="351">
        <f t="shared" si="41"/>
        <v>0</v>
      </c>
      <c r="AA115" s="368">
        <f>13230000+2205000+2205000+2205000</f>
        <v>19845000</v>
      </c>
      <c r="AB115" s="369"/>
      <c r="AC115" s="353">
        <f t="shared" si="42"/>
        <v>0</v>
      </c>
      <c r="AD115" s="354"/>
    </row>
    <row r="116" spans="1:30" ht="121.5" customHeight="1" x14ac:dyDescent="0.3">
      <c r="A116" s="338" t="s">
        <v>587</v>
      </c>
      <c r="B116" s="323">
        <v>2299060</v>
      </c>
      <c r="C116" s="486" t="s">
        <v>475</v>
      </c>
      <c r="D116" s="405" t="s">
        <v>119</v>
      </c>
      <c r="E116" s="306" t="s">
        <v>522</v>
      </c>
      <c r="F116" s="341">
        <f>'Final OAP'!K116+'Final OAP'!O116+'Final OAP'!R116-'Final OAP'!U116</f>
        <v>29178589</v>
      </c>
      <c r="G116" s="341">
        <f>'Final OAP'!L116+'Final OAP'!P116+'Final OAP'!S116-'Final OAP'!V116</f>
        <v>0</v>
      </c>
      <c r="H116" s="341">
        <f>'Final OAP'!M116+'Final OAP'!Q116+'Final OAP'!T116-'Final OAP'!W116</f>
        <v>0</v>
      </c>
      <c r="I116" s="341">
        <f t="shared" si="36"/>
        <v>29178589</v>
      </c>
      <c r="J116" s="309" t="s">
        <v>59</v>
      </c>
      <c r="K116" s="406">
        <v>1719</v>
      </c>
      <c r="L116" s="368">
        <v>29178589</v>
      </c>
      <c r="M116" s="344">
        <f t="shared" si="50"/>
        <v>0</v>
      </c>
      <c r="N116" s="375"/>
      <c r="O116" s="343">
        <f t="shared" si="51"/>
        <v>0</v>
      </c>
      <c r="P116" s="345"/>
      <c r="Q116" s="346">
        <f t="shared" si="52"/>
        <v>0</v>
      </c>
      <c r="R116" s="360">
        <v>2119</v>
      </c>
      <c r="S116" s="361">
        <v>43488</v>
      </c>
      <c r="T116" s="306" t="s">
        <v>573</v>
      </c>
      <c r="U116" s="306" t="s">
        <v>572</v>
      </c>
      <c r="V116" s="368">
        <v>29178589</v>
      </c>
      <c r="W116" s="350">
        <f t="shared" si="40"/>
        <v>0</v>
      </c>
      <c r="X116" s="368">
        <f>10610396+2652599+795779+1856819+2652599+2652599+2652599+2652599+2652600</f>
        <v>29178589</v>
      </c>
      <c r="Y116" s="368"/>
      <c r="Z116" s="351">
        <f t="shared" si="41"/>
        <v>0</v>
      </c>
      <c r="AA116" s="368"/>
      <c r="AB116" s="369"/>
      <c r="AC116" s="353">
        <f t="shared" si="42"/>
        <v>0</v>
      </c>
      <c r="AD116" s="354"/>
    </row>
    <row r="117" spans="1:30" s="322" customFormat="1" ht="141.75" customHeight="1" x14ac:dyDescent="0.25">
      <c r="A117" s="338" t="s">
        <v>598</v>
      </c>
      <c r="B117" s="323">
        <v>2299060</v>
      </c>
      <c r="C117" s="486" t="s">
        <v>475</v>
      </c>
      <c r="D117" s="407" t="s">
        <v>120</v>
      </c>
      <c r="E117" s="306" t="s">
        <v>101</v>
      </c>
      <c r="F117" s="341">
        <f>'Final OAP'!K117+'Final OAP'!O117+'Final OAP'!R117-'Final OAP'!U117</f>
        <v>35805000</v>
      </c>
      <c r="G117" s="341">
        <f>'Final OAP'!L117+'Final OAP'!P117+'Final OAP'!S117-'Final OAP'!V117</f>
        <v>0</v>
      </c>
      <c r="H117" s="341">
        <f>'Final OAP'!M117+'Final OAP'!Q117+'Final OAP'!T117-'Final OAP'!W117</f>
        <v>0</v>
      </c>
      <c r="I117" s="341">
        <f t="shared" si="36"/>
        <v>35805000</v>
      </c>
      <c r="J117" s="309" t="s">
        <v>59</v>
      </c>
      <c r="K117" s="406">
        <v>2019</v>
      </c>
      <c r="L117" s="368">
        <v>35805000</v>
      </c>
      <c r="M117" s="344">
        <f t="shared" si="50"/>
        <v>0</v>
      </c>
      <c r="N117" s="375"/>
      <c r="O117" s="343">
        <f t="shared" si="51"/>
        <v>0</v>
      </c>
      <c r="P117" s="345"/>
      <c r="Q117" s="346">
        <f t="shared" si="52"/>
        <v>0</v>
      </c>
      <c r="R117" s="364">
        <v>1619</v>
      </c>
      <c r="S117" s="361">
        <v>43487</v>
      </c>
      <c r="T117" s="306" t="s">
        <v>538</v>
      </c>
      <c r="U117" s="306" t="s">
        <v>778</v>
      </c>
      <c r="V117" s="368">
        <v>35805000</v>
      </c>
      <c r="W117" s="350">
        <f t="shared" si="40"/>
        <v>0</v>
      </c>
      <c r="X117" s="368">
        <f>13020000+3255000+3255000+3255000+3255000+3255000+3255000+3255000</f>
        <v>35805000</v>
      </c>
      <c r="Y117" s="368"/>
      <c r="Z117" s="351">
        <f t="shared" si="41"/>
        <v>0</v>
      </c>
      <c r="AA117" s="368"/>
      <c r="AB117" s="369"/>
      <c r="AC117" s="353">
        <f t="shared" si="42"/>
        <v>0</v>
      </c>
      <c r="AD117" s="354"/>
    </row>
    <row r="118" spans="1:30" ht="156.75" customHeight="1" x14ac:dyDescent="0.3">
      <c r="A118" s="338" t="s">
        <v>601</v>
      </c>
      <c r="B118" s="323">
        <v>2299058</v>
      </c>
      <c r="C118" s="485" t="s">
        <v>474</v>
      </c>
      <c r="D118" s="308" t="s">
        <v>111</v>
      </c>
      <c r="E118" s="306" t="s">
        <v>128</v>
      </c>
      <c r="F118" s="341">
        <f>'Final OAP'!K118+'Final OAP'!O118+'Final OAP'!R118-'Final OAP'!U118</f>
        <v>6242596</v>
      </c>
      <c r="G118" s="341">
        <f>'Final OAP'!L118+'Final OAP'!P118+'Final OAP'!S118-'Final OAP'!V118</f>
        <v>0</v>
      </c>
      <c r="H118" s="341">
        <f>'Final OAP'!M118+'Final OAP'!Q118+'Final OAP'!T118-'Final OAP'!W118</f>
        <v>0</v>
      </c>
      <c r="I118" s="341">
        <f t="shared" si="36"/>
        <v>6242596</v>
      </c>
      <c r="J118" s="309" t="s">
        <v>59</v>
      </c>
      <c r="K118" s="364">
        <v>27419</v>
      </c>
      <c r="L118" s="368">
        <v>6242596</v>
      </c>
      <c r="M118" s="344">
        <f t="shared" si="50"/>
        <v>0</v>
      </c>
      <c r="N118" s="372"/>
      <c r="O118" s="343">
        <f t="shared" si="51"/>
        <v>0</v>
      </c>
      <c r="P118" s="375"/>
      <c r="Q118" s="346">
        <f t="shared" si="52"/>
        <v>0</v>
      </c>
      <c r="R118" s="360">
        <v>47819</v>
      </c>
      <c r="S118" s="361">
        <v>43745</v>
      </c>
      <c r="T118" s="306" t="s">
        <v>1019</v>
      </c>
      <c r="U118" s="306" t="s">
        <v>1020</v>
      </c>
      <c r="V118" s="369">
        <v>6242596</v>
      </c>
      <c r="W118" s="350">
        <f t="shared" si="40"/>
        <v>0</v>
      </c>
      <c r="X118" s="369"/>
      <c r="Y118" s="368"/>
      <c r="Z118" s="351">
        <f t="shared" si="41"/>
        <v>0</v>
      </c>
      <c r="AA118" s="368"/>
      <c r="AB118" s="369"/>
      <c r="AC118" s="353">
        <f t="shared" si="42"/>
        <v>0</v>
      </c>
      <c r="AD118" s="354"/>
    </row>
    <row r="119" spans="1:30" ht="128.25" customHeight="1" x14ac:dyDescent="0.3">
      <c r="A119" s="338" t="s">
        <v>587</v>
      </c>
      <c r="B119" s="323">
        <v>2299058</v>
      </c>
      <c r="C119" s="485" t="s">
        <v>474</v>
      </c>
      <c r="D119" s="307" t="s">
        <v>112</v>
      </c>
      <c r="E119" s="306" t="s">
        <v>140</v>
      </c>
      <c r="F119" s="341">
        <f>'Final OAP'!K119+'Final OAP'!O119+'Final OAP'!R119-'Final OAP'!U119</f>
        <v>0</v>
      </c>
      <c r="G119" s="341">
        <f>'Final OAP'!L119+'Final OAP'!P119+'Final OAP'!S119-'Final OAP'!V119</f>
        <v>0</v>
      </c>
      <c r="H119" s="341">
        <f>'Final OAP'!M119+'Final OAP'!Q119+'Final OAP'!T119-'Final OAP'!W119</f>
        <v>0</v>
      </c>
      <c r="I119" s="341">
        <f t="shared" si="36"/>
        <v>0</v>
      </c>
      <c r="J119" s="309" t="s">
        <v>59</v>
      </c>
      <c r="K119" s="360"/>
      <c r="L119" s="368"/>
      <c r="M119" s="344">
        <f t="shared" si="50"/>
        <v>0</v>
      </c>
      <c r="N119" s="372"/>
      <c r="O119" s="343">
        <f t="shared" si="51"/>
        <v>0</v>
      </c>
      <c r="P119" s="375"/>
      <c r="Q119" s="346">
        <f t="shared" si="52"/>
        <v>0</v>
      </c>
      <c r="R119" s="360"/>
      <c r="S119" s="361"/>
      <c r="T119" s="306"/>
      <c r="U119" s="306"/>
      <c r="V119" s="369"/>
      <c r="W119" s="350">
        <f t="shared" si="40"/>
        <v>0</v>
      </c>
      <c r="X119" s="368"/>
      <c r="Y119" s="368"/>
      <c r="Z119" s="351">
        <f t="shared" si="41"/>
        <v>0</v>
      </c>
      <c r="AA119" s="368"/>
      <c r="AB119" s="369"/>
      <c r="AC119" s="353">
        <f t="shared" si="42"/>
        <v>0</v>
      </c>
      <c r="AD119" s="354"/>
    </row>
    <row r="120" spans="1:30" ht="40.5" customHeight="1" x14ac:dyDescent="0.3">
      <c r="A120" s="338" t="s">
        <v>587</v>
      </c>
      <c r="B120" s="323">
        <v>2299052</v>
      </c>
      <c r="C120" s="484" t="s">
        <v>473</v>
      </c>
      <c r="D120" s="408" t="s">
        <v>117</v>
      </c>
      <c r="E120" s="306" t="s">
        <v>320</v>
      </c>
      <c r="F120" s="341">
        <f>'Final OAP'!K120+'Final OAP'!O120+'Final OAP'!R120-'Final OAP'!U120</f>
        <v>0</v>
      </c>
      <c r="G120" s="341">
        <f>'Final OAP'!L120+'Final OAP'!P120+'Final OAP'!S120-'Final OAP'!V120</f>
        <v>22000000</v>
      </c>
      <c r="H120" s="341">
        <f>'Final OAP'!M120+'Final OAP'!Q120+'Final OAP'!T120-'Final OAP'!W120</f>
        <v>0</v>
      </c>
      <c r="I120" s="341">
        <f t="shared" si="36"/>
        <v>22000000</v>
      </c>
      <c r="J120" s="309" t="s">
        <v>59</v>
      </c>
      <c r="K120" s="360">
        <v>1119</v>
      </c>
      <c r="L120" s="368"/>
      <c r="M120" s="344">
        <f t="shared" si="50"/>
        <v>0</v>
      </c>
      <c r="N120" s="375">
        <v>22000000</v>
      </c>
      <c r="O120" s="343">
        <f t="shared" si="51"/>
        <v>0</v>
      </c>
      <c r="P120" s="345"/>
      <c r="Q120" s="346">
        <f t="shared" si="52"/>
        <v>0</v>
      </c>
      <c r="R120" s="360">
        <v>1519</v>
      </c>
      <c r="S120" s="361">
        <v>43486</v>
      </c>
      <c r="T120" s="306" t="s">
        <v>535</v>
      </c>
      <c r="U120" s="306" t="s">
        <v>537</v>
      </c>
      <c r="V120" s="368"/>
      <c r="W120" s="350">
        <f t="shared" si="40"/>
        <v>0</v>
      </c>
      <c r="X120" s="368"/>
      <c r="Y120" s="368">
        <v>22000000</v>
      </c>
      <c r="Z120" s="351">
        <f t="shared" si="41"/>
        <v>0</v>
      </c>
      <c r="AA120" s="368">
        <f>14000000+2000000+2000000+2000000+2000000</f>
        <v>22000000</v>
      </c>
      <c r="AB120" s="368"/>
      <c r="AC120" s="353">
        <f t="shared" si="42"/>
        <v>0</v>
      </c>
      <c r="AD120" s="354"/>
    </row>
    <row r="121" spans="1:30" ht="60.75" customHeight="1" x14ac:dyDescent="0.3">
      <c r="A121" s="338" t="s">
        <v>587</v>
      </c>
      <c r="B121" s="323">
        <v>2299052</v>
      </c>
      <c r="C121" s="484" t="s">
        <v>473</v>
      </c>
      <c r="D121" s="408" t="s">
        <v>116</v>
      </c>
      <c r="E121" s="306" t="s">
        <v>319</v>
      </c>
      <c r="F121" s="341">
        <f>'Final OAP'!K121+'Final OAP'!O121+'Final OAP'!R121-'Final OAP'!U121</f>
        <v>0</v>
      </c>
      <c r="G121" s="341">
        <f>'Final OAP'!L121+'Final OAP'!P121+'Final OAP'!S121-'Final OAP'!V121</f>
        <v>22000000</v>
      </c>
      <c r="H121" s="341">
        <f>'Final OAP'!M121+'Final OAP'!Q121+'Final OAP'!T121-'Final OAP'!W121</f>
        <v>0</v>
      </c>
      <c r="I121" s="341">
        <f t="shared" si="36"/>
        <v>22000000</v>
      </c>
      <c r="J121" s="309" t="s">
        <v>59</v>
      </c>
      <c r="K121" s="360">
        <v>1019</v>
      </c>
      <c r="L121" s="368"/>
      <c r="M121" s="344">
        <f t="shared" si="50"/>
        <v>0</v>
      </c>
      <c r="N121" s="375">
        <v>22000000</v>
      </c>
      <c r="O121" s="343">
        <f t="shared" si="51"/>
        <v>0</v>
      </c>
      <c r="P121" s="345"/>
      <c r="Q121" s="346">
        <f t="shared" si="52"/>
        <v>0</v>
      </c>
      <c r="R121" s="360">
        <v>1319</v>
      </c>
      <c r="S121" s="361">
        <v>43486</v>
      </c>
      <c r="T121" s="306" t="s">
        <v>534</v>
      </c>
      <c r="U121" s="306" t="s">
        <v>536</v>
      </c>
      <c r="V121" s="368"/>
      <c r="W121" s="350">
        <f t="shared" si="40"/>
        <v>0</v>
      </c>
      <c r="X121" s="368"/>
      <c r="Y121" s="368">
        <v>22000000</v>
      </c>
      <c r="Z121" s="351">
        <f t="shared" si="41"/>
        <v>0</v>
      </c>
      <c r="AA121" s="368">
        <f>14000000+2000000+2000000+2000000+2000000</f>
        <v>22000000</v>
      </c>
      <c r="AB121" s="368"/>
      <c r="AC121" s="353">
        <f t="shared" si="42"/>
        <v>0</v>
      </c>
      <c r="AD121" s="354"/>
    </row>
    <row r="122" spans="1:30" ht="101.25" customHeight="1" x14ac:dyDescent="0.3">
      <c r="A122" s="384" t="s">
        <v>625</v>
      </c>
      <c r="B122" s="409">
        <v>2299011</v>
      </c>
      <c r="C122" s="324" t="s">
        <v>472</v>
      </c>
      <c r="D122" s="410" t="s">
        <v>114</v>
      </c>
      <c r="E122" s="306" t="s">
        <v>127</v>
      </c>
      <c r="F122" s="341">
        <f>'Final OAP'!K122+'Final OAP'!O122+'Final OAP'!R122-'Final OAP'!U122</f>
        <v>13700000</v>
      </c>
      <c r="G122" s="341">
        <f>'Final OAP'!L122+'Final OAP'!P122+'Final OAP'!S122-'Final OAP'!V122</f>
        <v>0</v>
      </c>
      <c r="H122" s="341">
        <f>'Final OAP'!M122+'Final OAP'!Q122+'Final OAP'!T122-'Final OAP'!W122</f>
        <v>0</v>
      </c>
      <c r="I122" s="341">
        <f t="shared" si="36"/>
        <v>13700000</v>
      </c>
      <c r="J122" s="309" t="s">
        <v>59</v>
      </c>
      <c r="K122" s="360">
        <v>7619</v>
      </c>
      <c r="L122" s="368">
        <v>13700000</v>
      </c>
      <c r="M122" s="344">
        <f t="shared" si="50"/>
        <v>0</v>
      </c>
      <c r="N122" s="372"/>
      <c r="O122" s="343">
        <f t="shared" si="51"/>
        <v>0</v>
      </c>
      <c r="P122" s="375"/>
      <c r="Q122" s="346">
        <f t="shared" si="52"/>
        <v>0</v>
      </c>
      <c r="R122" s="360">
        <v>14519</v>
      </c>
      <c r="S122" s="361" t="s">
        <v>898</v>
      </c>
      <c r="T122" s="306" t="s">
        <v>734</v>
      </c>
      <c r="U122" s="306" t="s">
        <v>899</v>
      </c>
      <c r="V122" s="369">
        <v>13700000</v>
      </c>
      <c r="W122" s="350">
        <f t="shared" si="40"/>
        <v>0</v>
      </c>
      <c r="X122" s="368">
        <f>4000000+3000000+3000000</f>
        <v>10000000</v>
      </c>
      <c r="Y122" s="368"/>
      <c r="Z122" s="351">
        <f t="shared" si="41"/>
        <v>0</v>
      </c>
      <c r="AA122" s="368"/>
      <c r="AB122" s="369"/>
      <c r="AC122" s="353">
        <f t="shared" si="42"/>
        <v>0</v>
      </c>
      <c r="AD122" s="354"/>
    </row>
    <row r="123" spans="1:30" s="322" customFormat="1" ht="108.75" customHeight="1" x14ac:dyDescent="0.25">
      <c r="A123" s="384" t="s">
        <v>626</v>
      </c>
      <c r="B123" s="409">
        <v>2299011</v>
      </c>
      <c r="C123" s="324" t="s">
        <v>472</v>
      </c>
      <c r="D123" s="410" t="s">
        <v>114</v>
      </c>
      <c r="E123" s="306" t="s">
        <v>791</v>
      </c>
      <c r="F123" s="341">
        <f>'Final OAP'!K123+'Final OAP'!O123+'Final OAP'!R123-'Final OAP'!U123</f>
        <v>103252551</v>
      </c>
      <c r="G123" s="341">
        <f>'Final OAP'!L123+'Final OAP'!P123+'Final OAP'!S123-'Final OAP'!V123</f>
        <v>45701707.00000006</v>
      </c>
      <c r="H123" s="341">
        <f>'Final OAP'!M123+'Final OAP'!Q123+'Final OAP'!T123-'Final OAP'!W123</f>
        <v>0</v>
      </c>
      <c r="I123" s="341">
        <f t="shared" si="36"/>
        <v>148954258.00000006</v>
      </c>
      <c r="J123" s="309" t="s">
        <v>59</v>
      </c>
      <c r="K123" s="400" t="s">
        <v>1060</v>
      </c>
      <c r="L123" s="401">
        <f>72496744+30755807</f>
        <v>103252551</v>
      </c>
      <c r="M123" s="344">
        <f t="shared" si="50"/>
        <v>0</v>
      </c>
      <c r="N123" s="411">
        <f>36580348+9121359-341969</f>
        <v>45359738</v>
      </c>
      <c r="O123" s="343">
        <f t="shared" si="51"/>
        <v>341969.0000000596</v>
      </c>
      <c r="P123" s="391"/>
      <c r="Q123" s="346">
        <f t="shared" si="52"/>
        <v>0</v>
      </c>
      <c r="R123" s="360">
        <v>34319</v>
      </c>
      <c r="S123" s="361">
        <v>43676</v>
      </c>
      <c r="T123" s="306" t="s">
        <v>897</v>
      </c>
      <c r="U123" s="306" t="s">
        <v>896</v>
      </c>
      <c r="V123" s="368">
        <f>72496744+30755807</f>
        <v>103252551</v>
      </c>
      <c r="W123" s="350">
        <f t="shared" si="40"/>
        <v>0</v>
      </c>
      <c r="X123" s="368">
        <f>58011796+13455533</f>
        <v>71467329</v>
      </c>
      <c r="Y123" s="368">
        <v>45359738</v>
      </c>
      <c r="Z123" s="351">
        <f t="shared" si="41"/>
        <v>341969.0000000596</v>
      </c>
      <c r="AA123" s="368">
        <v>19321099</v>
      </c>
      <c r="AB123" s="369"/>
      <c r="AC123" s="353">
        <f t="shared" si="42"/>
        <v>0</v>
      </c>
      <c r="AD123" s="354"/>
    </row>
    <row r="124" spans="1:30" s="322" customFormat="1" ht="60.75" customHeight="1" x14ac:dyDescent="0.25">
      <c r="A124" s="412" t="s">
        <v>338</v>
      </c>
      <c r="B124" s="413" t="s">
        <v>338</v>
      </c>
      <c r="C124" s="412" t="s">
        <v>507</v>
      </c>
      <c r="D124" s="414" t="s">
        <v>296</v>
      </c>
      <c r="E124" s="415" t="s">
        <v>448</v>
      </c>
      <c r="F124" s="341">
        <f>'Final OAP'!K124+'Final OAP'!O124+'Final OAP'!R124-'Final OAP'!U124</f>
        <v>0</v>
      </c>
      <c r="G124" s="341">
        <f>'Final OAP'!L124+'Final OAP'!P124+'Final OAP'!S124-'Final OAP'!V124</f>
        <v>22453</v>
      </c>
      <c r="H124" s="341">
        <f>'Final OAP'!M124+'Final OAP'!Q124+'Final OAP'!T124-'Final OAP'!W124</f>
        <v>0</v>
      </c>
      <c r="I124" s="341">
        <f t="shared" si="36"/>
        <v>22453</v>
      </c>
      <c r="J124" s="310" t="s">
        <v>74</v>
      </c>
      <c r="K124" s="364">
        <v>9419</v>
      </c>
      <c r="L124" s="366"/>
      <c r="M124" s="344">
        <f t="shared" si="50"/>
        <v>0</v>
      </c>
      <c r="N124" s="366">
        <v>22453</v>
      </c>
      <c r="O124" s="343">
        <f t="shared" si="51"/>
        <v>0</v>
      </c>
      <c r="P124" s="366"/>
      <c r="Q124" s="346">
        <f t="shared" si="52"/>
        <v>0</v>
      </c>
      <c r="R124" s="364">
        <v>18219</v>
      </c>
      <c r="S124" s="395">
        <v>43585</v>
      </c>
      <c r="T124" s="364" t="s">
        <v>761</v>
      </c>
      <c r="U124" s="364"/>
      <c r="V124" s="366"/>
      <c r="W124" s="350">
        <f t="shared" si="40"/>
        <v>0</v>
      </c>
      <c r="X124" s="366"/>
      <c r="Y124" s="366">
        <v>22453</v>
      </c>
      <c r="Z124" s="351">
        <f t="shared" si="41"/>
        <v>0</v>
      </c>
      <c r="AA124" s="366"/>
      <c r="AB124" s="416"/>
      <c r="AC124" s="353">
        <f t="shared" si="42"/>
        <v>0</v>
      </c>
      <c r="AD124" s="354"/>
    </row>
    <row r="125" spans="1:30" s="322" customFormat="1" ht="78" customHeight="1" x14ac:dyDescent="0.3">
      <c r="A125" s="412" t="s">
        <v>339</v>
      </c>
      <c r="B125" s="413" t="s">
        <v>339</v>
      </c>
      <c r="C125" s="412" t="s">
        <v>507</v>
      </c>
      <c r="D125" s="414" t="s">
        <v>296</v>
      </c>
      <c r="E125" s="415" t="s">
        <v>449</v>
      </c>
      <c r="F125" s="341">
        <f>'Final OAP'!K125+'Final OAP'!O125+'Final OAP'!R125-'Final OAP'!U125</f>
        <v>0</v>
      </c>
      <c r="G125" s="341">
        <f>'Final OAP'!L125+'Final OAP'!P125+'Final OAP'!S125-'Final OAP'!V125</f>
        <v>0</v>
      </c>
      <c r="H125" s="341">
        <f>'Final OAP'!M125+'Final OAP'!Q125+'Final OAP'!T125-'Final OAP'!W125</f>
        <v>0</v>
      </c>
      <c r="I125" s="341">
        <f t="shared" si="36"/>
        <v>0</v>
      </c>
      <c r="J125" s="310" t="s">
        <v>74</v>
      </c>
      <c r="K125" s="364"/>
      <c r="L125" s="366"/>
      <c r="M125" s="344">
        <f t="shared" si="50"/>
        <v>0</v>
      </c>
      <c r="N125" s="366"/>
      <c r="O125" s="515">
        <f t="shared" si="51"/>
        <v>0</v>
      </c>
      <c r="P125" s="366"/>
      <c r="Q125" s="346">
        <f t="shared" si="52"/>
        <v>0</v>
      </c>
      <c r="R125" s="364"/>
      <c r="S125" s="364"/>
      <c r="T125" s="364"/>
      <c r="U125" s="364"/>
      <c r="V125" s="366"/>
      <c r="W125" s="350">
        <f t="shared" si="40"/>
        <v>0</v>
      </c>
      <c r="X125" s="366"/>
      <c r="Y125" s="366"/>
      <c r="Z125" s="351">
        <f t="shared" si="41"/>
        <v>0</v>
      </c>
      <c r="AA125" s="366"/>
      <c r="AB125" s="392"/>
      <c r="AC125" s="353">
        <f t="shared" si="42"/>
        <v>0</v>
      </c>
      <c r="AD125" s="354"/>
    </row>
    <row r="126" spans="1:30" s="322" customFormat="1" ht="60.75" customHeight="1" x14ac:dyDescent="0.25">
      <c r="A126" s="412" t="s">
        <v>318</v>
      </c>
      <c r="B126" s="413" t="s">
        <v>318</v>
      </c>
      <c r="C126" s="412" t="s">
        <v>507</v>
      </c>
      <c r="D126" s="356" t="s">
        <v>296</v>
      </c>
      <c r="E126" s="306" t="s">
        <v>426</v>
      </c>
      <c r="F126" s="341">
        <f>'Final OAP'!K126+'Final OAP'!O126+'Final OAP'!R126-'Final OAP'!U126</f>
        <v>0</v>
      </c>
      <c r="G126" s="341">
        <f>'Final OAP'!L126+'Final OAP'!P126+'Final OAP'!S126-'Final OAP'!V126</f>
        <v>0</v>
      </c>
      <c r="H126" s="341">
        <f>'Final OAP'!M126+'Final OAP'!Q126+'Final OAP'!T126-'Final OAP'!W126</f>
        <v>0</v>
      </c>
      <c r="I126" s="341">
        <f t="shared" si="36"/>
        <v>0</v>
      </c>
      <c r="J126" s="310" t="s">
        <v>74</v>
      </c>
      <c r="K126" s="364"/>
      <c r="L126" s="366"/>
      <c r="M126" s="344">
        <f t="shared" si="50"/>
        <v>0</v>
      </c>
      <c r="N126" s="366"/>
      <c r="O126" s="343">
        <f t="shared" si="51"/>
        <v>0</v>
      </c>
      <c r="P126" s="366"/>
      <c r="Q126" s="346">
        <f t="shared" si="52"/>
        <v>0</v>
      </c>
      <c r="R126" s="364"/>
      <c r="S126" s="364"/>
      <c r="T126" s="364"/>
      <c r="U126" s="364"/>
      <c r="V126" s="366"/>
      <c r="W126" s="350">
        <f t="shared" si="40"/>
        <v>0</v>
      </c>
      <c r="X126" s="366"/>
      <c r="Y126" s="366"/>
      <c r="Z126" s="351">
        <f t="shared" si="41"/>
        <v>0</v>
      </c>
      <c r="AA126" s="366"/>
      <c r="AB126" s="364"/>
      <c r="AC126" s="353">
        <f t="shared" si="42"/>
        <v>0</v>
      </c>
      <c r="AD126" s="354"/>
    </row>
    <row r="127" spans="1:30" s="322" customFormat="1" ht="158.25" customHeight="1" x14ac:dyDescent="0.25">
      <c r="A127" s="315" t="s">
        <v>305</v>
      </c>
      <c r="B127" s="417" t="s">
        <v>957</v>
      </c>
      <c r="C127" s="412" t="s">
        <v>507</v>
      </c>
      <c r="D127" s="356" t="s">
        <v>296</v>
      </c>
      <c r="E127" s="306" t="s">
        <v>879</v>
      </c>
      <c r="F127" s="341">
        <f>'Final OAP'!K127+'Final OAP'!O127+'Final OAP'!R127-'Final OAP'!U127</f>
        <v>10294817</v>
      </c>
      <c r="G127" s="341">
        <f>'Final OAP'!L127+'Final OAP'!P127+'Final OAP'!S127-'Final OAP'!V127</f>
        <v>14946925</v>
      </c>
      <c r="H127" s="341">
        <f>'Final OAP'!M127+'Final OAP'!Q127+'Final OAP'!T127-'Final OAP'!W127</f>
        <v>0</v>
      </c>
      <c r="I127" s="341">
        <f t="shared" si="36"/>
        <v>25241742</v>
      </c>
      <c r="J127" s="310" t="s">
        <v>74</v>
      </c>
      <c r="K127" s="364">
        <v>27419</v>
      </c>
      <c r="L127" s="366">
        <v>10294817</v>
      </c>
      <c r="M127" s="344">
        <f t="shared" si="50"/>
        <v>0</v>
      </c>
      <c r="N127" s="366">
        <v>14946925</v>
      </c>
      <c r="O127" s="343">
        <f t="shared" si="51"/>
        <v>0</v>
      </c>
      <c r="P127" s="366"/>
      <c r="Q127" s="346">
        <f t="shared" si="52"/>
        <v>0</v>
      </c>
      <c r="R127" s="360">
        <v>47819</v>
      </c>
      <c r="S127" s="361">
        <v>43745</v>
      </c>
      <c r="T127" s="306" t="s">
        <v>1019</v>
      </c>
      <c r="U127" s="306" t="s">
        <v>1020</v>
      </c>
      <c r="V127" s="366">
        <v>10294817</v>
      </c>
      <c r="W127" s="350">
        <f t="shared" si="40"/>
        <v>0</v>
      </c>
      <c r="X127" s="366">
        <v>5833250</v>
      </c>
      <c r="Y127" s="366">
        <v>14946925</v>
      </c>
      <c r="Z127" s="351">
        <f t="shared" si="41"/>
        <v>0</v>
      </c>
      <c r="AA127" s="366"/>
      <c r="AB127" s="416"/>
      <c r="AC127" s="353">
        <f t="shared" si="42"/>
        <v>0</v>
      </c>
      <c r="AD127" s="354"/>
    </row>
    <row r="128" spans="1:30" ht="60.75" customHeight="1" x14ac:dyDescent="0.3">
      <c r="A128" s="315" t="s">
        <v>491</v>
      </c>
      <c r="B128" s="418" t="s">
        <v>491</v>
      </c>
      <c r="C128" s="419" t="s">
        <v>495</v>
      </c>
      <c r="D128" s="414" t="s">
        <v>296</v>
      </c>
      <c r="E128" s="364" t="s">
        <v>443</v>
      </c>
      <c r="F128" s="341">
        <f>'Final OAP'!K128+'Final OAP'!O128+'Final OAP'!R128-'Final OAP'!U128</f>
        <v>40904671</v>
      </c>
      <c r="G128" s="341">
        <f>'Final OAP'!L128+'Final OAP'!P128+'Final OAP'!S128-'Final OAP'!V128</f>
        <v>0</v>
      </c>
      <c r="H128" s="341">
        <f>'Final OAP'!M128+'Final OAP'!Q128+'Final OAP'!T128-'Final OAP'!W128</f>
        <v>0</v>
      </c>
      <c r="I128" s="341">
        <f t="shared" si="36"/>
        <v>40904671</v>
      </c>
      <c r="J128" s="310" t="s">
        <v>74</v>
      </c>
      <c r="K128" s="364" t="s">
        <v>757</v>
      </c>
      <c r="L128" s="366">
        <f>14356224+26548447</f>
        <v>40904671</v>
      </c>
      <c r="M128" s="344">
        <f t="shared" si="50"/>
        <v>0</v>
      </c>
      <c r="N128" s="366"/>
      <c r="O128" s="343">
        <f t="shared" si="51"/>
        <v>0</v>
      </c>
      <c r="P128" s="343"/>
      <c r="Q128" s="346">
        <f t="shared" si="52"/>
        <v>0</v>
      </c>
      <c r="R128" s="364">
        <v>919</v>
      </c>
      <c r="S128" s="395">
        <v>43483</v>
      </c>
      <c r="T128" s="364" t="s">
        <v>762</v>
      </c>
      <c r="U128" s="364" t="s">
        <v>525</v>
      </c>
      <c r="V128" s="366">
        <f>14356224+26548447</f>
        <v>40904671</v>
      </c>
      <c r="W128" s="350">
        <f t="shared" si="40"/>
        <v>0</v>
      </c>
      <c r="X128" s="327">
        <f>3294973+5091363+2695092+2745811+2906956+2906956+2906956+3463645+2906956+2906956+545803+2361153</f>
        <v>34732620</v>
      </c>
      <c r="Y128" s="368"/>
      <c r="Z128" s="351">
        <f t="shared" si="41"/>
        <v>0</v>
      </c>
      <c r="AA128" s="366"/>
      <c r="AB128" s="420"/>
      <c r="AC128" s="353">
        <f t="shared" si="42"/>
        <v>0</v>
      </c>
      <c r="AD128" s="354"/>
    </row>
    <row r="129" spans="1:30" ht="162" customHeight="1" x14ac:dyDescent="0.3">
      <c r="A129" s="315" t="s">
        <v>494</v>
      </c>
      <c r="B129" s="314" t="s">
        <v>494</v>
      </c>
      <c r="C129" s="419" t="s">
        <v>495</v>
      </c>
      <c r="D129" s="414" t="s">
        <v>296</v>
      </c>
      <c r="E129" s="364" t="s">
        <v>442</v>
      </c>
      <c r="F129" s="341">
        <f>'Final OAP'!K129+'Final OAP'!O129+'Final OAP'!R129-'Final OAP'!U129</f>
        <v>106315662</v>
      </c>
      <c r="G129" s="341">
        <f>'Final OAP'!L129+'Final OAP'!P129+'Final OAP'!S129-'Final OAP'!V129</f>
        <v>491960</v>
      </c>
      <c r="H129" s="341">
        <f>'Final OAP'!M129+'Final OAP'!Q129+'Final OAP'!T129-'Final OAP'!W129</f>
        <v>0</v>
      </c>
      <c r="I129" s="341">
        <f t="shared" si="36"/>
        <v>106807622</v>
      </c>
      <c r="J129" s="310" t="s">
        <v>74</v>
      </c>
      <c r="K129" s="364" t="s">
        <v>882</v>
      </c>
      <c r="L129" s="366">
        <f>31687900+71435259-1826250+5018753-682617</f>
        <v>105633045</v>
      </c>
      <c r="M129" s="344">
        <f t="shared" si="50"/>
        <v>682617</v>
      </c>
      <c r="N129" s="366">
        <v>491960</v>
      </c>
      <c r="O129" s="515">
        <f t="shared" si="51"/>
        <v>0</v>
      </c>
      <c r="P129" s="343"/>
      <c r="Q129" s="346">
        <f t="shared" si="52"/>
        <v>0</v>
      </c>
      <c r="R129" s="364" t="s">
        <v>737</v>
      </c>
      <c r="S129" s="395" t="s">
        <v>738</v>
      </c>
      <c r="T129" s="364" t="s">
        <v>739</v>
      </c>
      <c r="U129" s="364" t="s">
        <v>740</v>
      </c>
      <c r="V129" s="366">
        <f>31687900+69609009+5018753-682617</f>
        <v>105633045</v>
      </c>
      <c r="W129" s="350">
        <f t="shared" si="40"/>
        <v>682617</v>
      </c>
      <c r="X129" s="327">
        <f>31005283+8701126+8701126+8701126+8701126+8701126+8701126+8701126</f>
        <v>91913165</v>
      </c>
      <c r="Y129" s="368">
        <v>491960</v>
      </c>
      <c r="Z129" s="351">
        <f t="shared" si="41"/>
        <v>0</v>
      </c>
      <c r="AA129" s="366"/>
      <c r="AB129" s="420"/>
      <c r="AC129" s="353">
        <f t="shared" si="42"/>
        <v>0</v>
      </c>
      <c r="AD129" s="354"/>
    </row>
    <row r="130" spans="1:30" s="322" customFormat="1" ht="60.75" customHeight="1" x14ac:dyDescent="0.25">
      <c r="A130" s="412" t="s">
        <v>331</v>
      </c>
      <c r="B130" s="413" t="s">
        <v>331</v>
      </c>
      <c r="C130" s="419" t="s">
        <v>495</v>
      </c>
      <c r="D130" s="414" t="s">
        <v>296</v>
      </c>
      <c r="E130" s="377" t="s">
        <v>457</v>
      </c>
      <c r="F130" s="341">
        <f>'Final OAP'!K130+'Final OAP'!O130+'Final OAP'!R130-'Final OAP'!U130</f>
        <v>0</v>
      </c>
      <c r="G130" s="341">
        <f>'Final OAP'!L130+'Final OAP'!P130+'Final OAP'!S130-'Final OAP'!V130</f>
        <v>0</v>
      </c>
      <c r="H130" s="341">
        <f>'Final OAP'!M130+'Final OAP'!Q130+'Final OAP'!T130-'Final OAP'!W130</f>
        <v>0</v>
      </c>
      <c r="I130" s="341">
        <f t="shared" si="36"/>
        <v>0</v>
      </c>
      <c r="J130" s="310" t="s">
        <v>74</v>
      </c>
      <c r="K130" s="306"/>
      <c r="L130" s="368"/>
      <c r="M130" s="344">
        <f t="shared" si="50"/>
        <v>0</v>
      </c>
      <c r="N130" s="366"/>
      <c r="O130" s="343">
        <f t="shared" si="51"/>
        <v>0</v>
      </c>
      <c r="P130" s="366"/>
      <c r="Q130" s="346">
        <f t="shared" si="52"/>
        <v>0</v>
      </c>
      <c r="R130" s="356"/>
      <c r="S130" s="356"/>
      <c r="T130" s="356"/>
      <c r="U130" s="356"/>
      <c r="V130" s="368"/>
      <c r="W130" s="350">
        <f t="shared" si="40"/>
        <v>0</v>
      </c>
      <c r="X130" s="368"/>
      <c r="Y130" s="368"/>
      <c r="Z130" s="351">
        <f t="shared" si="41"/>
        <v>0</v>
      </c>
      <c r="AA130" s="368"/>
      <c r="AB130" s="369"/>
      <c r="AC130" s="353">
        <f t="shared" si="42"/>
        <v>0</v>
      </c>
      <c r="AD130" s="354"/>
    </row>
    <row r="131" spans="1:30" s="322" customFormat="1" ht="81" customHeight="1" x14ac:dyDescent="0.25">
      <c r="A131" s="421" t="s">
        <v>587</v>
      </c>
      <c r="B131" s="314" t="s">
        <v>488</v>
      </c>
      <c r="C131" s="419" t="s">
        <v>495</v>
      </c>
      <c r="D131" s="414" t="s">
        <v>296</v>
      </c>
      <c r="E131" s="377" t="s">
        <v>518</v>
      </c>
      <c r="F131" s="341">
        <f>'Final OAP'!K131+'Final OAP'!O131+'Final OAP'!R131-'Final OAP'!U131</f>
        <v>0</v>
      </c>
      <c r="G131" s="341">
        <f>'Final OAP'!L131+'Final OAP'!P131+'Final OAP'!S131-'Final OAP'!V131</f>
        <v>23082026</v>
      </c>
      <c r="H131" s="341">
        <f>'Final OAP'!M131+'Final OAP'!Q131+'Final OAP'!T131-'Final OAP'!W131</f>
        <v>0</v>
      </c>
      <c r="I131" s="341">
        <f t="shared" si="36"/>
        <v>23082026</v>
      </c>
      <c r="J131" s="310" t="s">
        <v>74</v>
      </c>
      <c r="K131" s="356" t="s">
        <v>557</v>
      </c>
      <c r="L131" s="368"/>
      <c r="M131" s="344">
        <f t="shared" si="50"/>
        <v>0</v>
      </c>
      <c r="N131" s="368">
        <v>23082026</v>
      </c>
      <c r="O131" s="343">
        <f t="shared" si="51"/>
        <v>0</v>
      </c>
      <c r="P131" s="343"/>
      <c r="Q131" s="346">
        <f t="shared" si="52"/>
        <v>0</v>
      </c>
      <c r="R131" s="356" t="s">
        <v>582</v>
      </c>
      <c r="S131" s="356" t="s">
        <v>585</v>
      </c>
      <c r="T131" s="356" t="s">
        <v>584</v>
      </c>
      <c r="U131" s="356" t="s">
        <v>583</v>
      </c>
      <c r="V131" s="368"/>
      <c r="W131" s="350">
        <f t="shared" si="40"/>
        <v>0</v>
      </c>
      <c r="X131" s="368"/>
      <c r="Y131" s="368">
        <v>23082026</v>
      </c>
      <c r="Z131" s="351">
        <f t="shared" si="41"/>
        <v>0</v>
      </c>
      <c r="AA131" s="528">
        <f>14688562+2098366+2098366+2098366+2098366</f>
        <v>23082026</v>
      </c>
      <c r="AB131" s="369"/>
      <c r="AC131" s="353">
        <f t="shared" si="42"/>
        <v>0</v>
      </c>
      <c r="AD131" s="354"/>
    </row>
    <row r="132" spans="1:30" s="423" customFormat="1" ht="144.75" customHeight="1" x14ac:dyDescent="0.25">
      <c r="A132" s="315" t="s">
        <v>493</v>
      </c>
      <c r="B132" s="314" t="s">
        <v>690</v>
      </c>
      <c r="C132" s="419" t="s">
        <v>495</v>
      </c>
      <c r="D132" s="414" t="s">
        <v>296</v>
      </c>
      <c r="E132" s="364" t="s">
        <v>441</v>
      </c>
      <c r="F132" s="341">
        <f>'Final OAP'!K132+'Final OAP'!O132+'Final OAP'!R132-'Final OAP'!U132</f>
        <v>19509248</v>
      </c>
      <c r="G132" s="341">
        <f>'Final OAP'!L132+'Final OAP'!P132+'Final OAP'!S132-'Final OAP'!V132</f>
        <v>1500000</v>
      </c>
      <c r="H132" s="341">
        <f>'Final OAP'!M132+'Final OAP'!Q132+'Final OAP'!T132-'Final OAP'!W132</f>
        <v>0</v>
      </c>
      <c r="I132" s="341">
        <f t="shared" si="36"/>
        <v>21009248</v>
      </c>
      <c r="J132" s="310" t="s">
        <v>74</v>
      </c>
      <c r="K132" s="364" t="s">
        <v>1143</v>
      </c>
      <c r="L132" s="422">
        <f>370665+55190+1235310+370654+1296630+47350+369500+1289650+47030+849266+47070+1289650+389498+26690+1289650+389498+1289650+389498+1289647+389498+1289650+389498+1289650+389498+1302470+395143+877190+833000</f>
        <v>19487693</v>
      </c>
      <c r="M132" s="344">
        <f t="shared" si="50"/>
        <v>21555</v>
      </c>
      <c r="N132" s="422">
        <v>389498</v>
      </c>
      <c r="O132" s="343">
        <f t="shared" si="51"/>
        <v>1110502</v>
      </c>
      <c r="P132" s="343"/>
      <c r="Q132" s="346">
        <f t="shared" si="52"/>
        <v>0</v>
      </c>
      <c r="R132" s="364" t="s">
        <v>1163</v>
      </c>
      <c r="S132" s="395" t="s">
        <v>1162</v>
      </c>
      <c r="T132" s="364" t="s">
        <v>662</v>
      </c>
      <c r="U132" s="364" t="s">
        <v>960</v>
      </c>
      <c r="V132" s="422">
        <f>370665+55190+1235310+370654+1296630+47350+369500+1289650+47030+849266+47070+1289650+389498+26690+1289650+389498+1289650+389498+1289647+389498+1289650+389498+1289650+389498+1302470+395143+877190+833000</f>
        <v>19487693</v>
      </c>
      <c r="W132" s="350">
        <f t="shared" si="40"/>
        <v>21555</v>
      </c>
      <c r="X132" s="422">
        <f>370665+55190+1235310+370654+1296630+47350+369500+1289650+47030+849266+47070+1289650+389498+26690+1289650+389498+1289650+389498+1289647+389498+1289650+389498+1289650+389498+1302470+395143+877190</f>
        <v>18654693</v>
      </c>
      <c r="Y132" s="422">
        <v>389498</v>
      </c>
      <c r="Z132" s="351">
        <f t="shared" si="41"/>
        <v>1110502</v>
      </c>
      <c r="AA132" s="422">
        <v>389498</v>
      </c>
      <c r="AB132" s="420"/>
      <c r="AC132" s="353">
        <f t="shared" si="42"/>
        <v>0</v>
      </c>
      <c r="AD132" s="354"/>
    </row>
    <row r="133" spans="1:30" s="322" customFormat="1" ht="60.75" customHeight="1" x14ac:dyDescent="0.25">
      <c r="A133" s="315" t="s">
        <v>330</v>
      </c>
      <c r="B133" s="314" t="s">
        <v>330</v>
      </c>
      <c r="C133" s="419" t="s">
        <v>495</v>
      </c>
      <c r="D133" s="414" t="s">
        <v>296</v>
      </c>
      <c r="E133" s="364" t="s">
        <v>444</v>
      </c>
      <c r="F133" s="341">
        <f>'Final OAP'!K133+'Final OAP'!O133+'Final OAP'!R133-'Final OAP'!U133</f>
        <v>0</v>
      </c>
      <c r="G133" s="341">
        <f>'Final OAP'!L133+'Final OAP'!P133+'Final OAP'!S133-'Final OAP'!V133</f>
        <v>-0.32499999925494194</v>
      </c>
      <c r="H133" s="341">
        <f>'Final OAP'!M133+'Final OAP'!Q133+'Final OAP'!T133-'Final OAP'!W133</f>
        <v>0</v>
      </c>
      <c r="I133" s="341">
        <f t="shared" si="36"/>
        <v>-0.32499999925494194</v>
      </c>
      <c r="J133" s="310" t="s">
        <v>74</v>
      </c>
      <c r="K133" s="364"/>
      <c r="L133" s="366"/>
      <c r="M133" s="344">
        <f t="shared" si="50"/>
        <v>0</v>
      </c>
      <c r="N133" s="366"/>
      <c r="O133" s="343">
        <f t="shared" si="51"/>
        <v>-0.32499999925494194</v>
      </c>
      <c r="P133" s="366"/>
      <c r="Q133" s="346">
        <f t="shared" si="52"/>
        <v>0</v>
      </c>
      <c r="R133" s="364"/>
      <c r="S133" s="364"/>
      <c r="T133" s="364"/>
      <c r="U133" s="364"/>
      <c r="V133" s="366"/>
      <c r="W133" s="350">
        <f t="shared" si="40"/>
        <v>0</v>
      </c>
      <c r="X133" s="366"/>
      <c r="Y133" s="366"/>
      <c r="Z133" s="351">
        <f t="shared" si="41"/>
        <v>-0.32499999925494194</v>
      </c>
      <c r="AA133" s="366"/>
      <c r="AB133" s="416"/>
      <c r="AC133" s="353">
        <f t="shared" si="42"/>
        <v>0</v>
      </c>
      <c r="AD133" s="354"/>
    </row>
    <row r="134" spans="1:30" s="322" customFormat="1" ht="118.5" customHeight="1" x14ac:dyDescent="0.25">
      <c r="A134" s="315" t="s">
        <v>489</v>
      </c>
      <c r="B134" s="314" t="s">
        <v>489</v>
      </c>
      <c r="C134" s="419" t="s">
        <v>495</v>
      </c>
      <c r="D134" s="414" t="s">
        <v>296</v>
      </c>
      <c r="E134" s="364" t="s">
        <v>445</v>
      </c>
      <c r="F134" s="341">
        <f>'Final OAP'!K134+'Final OAP'!O134+'Final OAP'!R134-'Final OAP'!U134</f>
        <v>0</v>
      </c>
      <c r="G134" s="341">
        <f>'Final OAP'!L134+'Final OAP'!P134+'Final OAP'!S134-'Final OAP'!V134</f>
        <v>4000000</v>
      </c>
      <c r="H134" s="341">
        <f>'Final OAP'!M134+'Final OAP'!Q134+'Final OAP'!T134-'Final OAP'!W134</f>
        <v>0</v>
      </c>
      <c r="I134" s="341">
        <f t="shared" si="36"/>
        <v>4000000</v>
      </c>
      <c r="J134" s="310" t="s">
        <v>74</v>
      </c>
      <c r="K134" s="364">
        <v>19519</v>
      </c>
      <c r="L134" s="366"/>
      <c r="M134" s="344">
        <f t="shared" si="50"/>
        <v>0</v>
      </c>
      <c r="N134" s="366">
        <v>3750000</v>
      </c>
      <c r="O134" s="515">
        <f t="shared" si="51"/>
        <v>250000</v>
      </c>
      <c r="P134" s="366"/>
      <c r="Q134" s="346">
        <f t="shared" si="52"/>
        <v>0</v>
      </c>
      <c r="R134" s="487">
        <v>35419</v>
      </c>
      <c r="S134" s="395">
        <v>43686</v>
      </c>
      <c r="T134" s="364" t="s">
        <v>890</v>
      </c>
      <c r="U134" s="364" t="s">
        <v>891</v>
      </c>
      <c r="V134" s="366"/>
      <c r="W134" s="350">
        <f t="shared" si="40"/>
        <v>0</v>
      </c>
      <c r="X134" s="366"/>
      <c r="Y134" s="366">
        <v>3750000</v>
      </c>
      <c r="Z134" s="351">
        <f t="shared" si="41"/>
        <v>250000</v>
      </c>
      <c r="AA134" s="366">
        <v>450500</v>
      </c>
      <c r="AB134" s="416"/>
      <c r="AC134" s="353">
        <f t="shared" si="42"/>
        <v>0</v>
      </c>
      <c r="AD134" s="354"/>
    </row>
    <row r="135" spans="1:30" s="322" customFormat="1" ht="60.75" customHeight="1" x14ac:dyDescent="0.25">
      <c r="A135" s="324" t="s">
        <v>490</v>
      </c>
      <c r="B135" s="323" t="s">
        <v>490</v>
      </c>
      <c r="C135" s="419" t="s">
        <v>495</v>
      </c>
      <c r="D135" s="414" t="s">
        <v>296</v>
      </c>
      <c r="E135" s="364" t="s">
        <v>446</v>
      </c>
      <c r="F135" s="341">
        <f>'Final OAP'!K135+'Final OAP'!O135+'Final OAP'!R135-'Final OAP'!U135</f>
        <v>0</v>
      </c>
      <c r="G135" s="341">
        <f>'Final OAP'!L135+'Final OAP'!P135+'Final OAP'!S135-'Final OAP'!V135</f>
        <v>0</v>
      </c>
      <c r="H135" s="341">
        <f>'Final OAP'!M135+'Final OAP'!Q135+'Final OAP'!T135-'Final OAP'!W135</f>
        <v>0</v>
      </c>
      <c r="I135" s="341">
        <f t="shared" si="36"/>
        <v>0</v>
      </c>
      <c r="J135" s="310" t="s">
        <v>74</v>
      </c>
      <c r="K135" s="364"/>
      <c r="L135" s="366"/>
      <c r="M135" s="344">
        <f t="shared" si="50"/>
        <v>0</v>
      </c>
      <c r="N135" s="366"/>
      <c r="O135" s="343">
        <f t="shared" si="51"/>
        <v>0</v>
      </c>
      <c r="P135" s="366"/>
      <c r="Q135" s="346">
        <f t="shared" si="52"/>
        <v>0</v>
      </c>
      <c r="R135" s="364"/>
      <c r="S135" s="364"/>
      <c r="T135" s="364"/>
      <c r="U135" s="364"/>
      <c r="V135" s="366"/>
      <c r="W135" s="350">
        <f t="shared" si="40"/>
        <v>0</v>
      </c>
      <c r="X135" s="366"/>
      <c r="Y135" s="366"/>
      <c r="Z135" s="351">
        <f t="shared" si="41"/>
        <v>0</v>
      </c>
      <c r="AA135" s="366"/>
      <c r="AB135" s="416"/>
      <c r="AC135" s="353">
        <f t="shared" si="42"/>
        <v>0</v>
      </c>
      <c r="AD135" s="354"/>
    </row>
    <row r="136" spans="1:30" s="322" customFormat="1" ht="60.75" customHeight="1" x14ac:dyDescent="0.25">
      <c r="A136" s="324"/>
      <c r="B136" s="323"/>
      <c r="C136" s="419" t="s">
        <v>495</v>
      </c>
      <c r="D136" s="414" t="s">
        <v>296</v>
      </c>
      <c r="E136" s="364" t="s">
        <v>689</v>
      </c>
      <c r="F136" s="341">
        <f>'Final OAP'!K136+'Final OAP'!O136+'Final OAP'!R136-'Final OAP'!U136</f>
        <v>0</v>
      </c>
      <c r="G136" s="341">
        <f>'Final OAP'!L136+'Final OAP'!P136+'Final OAP'!S136-'Final OAP'!V136</f>
        <v>0</v>
      </c>
      <c r="H136" s="341">
        <f>'Final OAP'!M136+'Final OAP'!Q136+'Final OAP'!T136-'Final OAP'!W136</f>
        <v>0</v>
      </c>
      <c r="I136" s="341">
        <f t="shared" si="36"/>
        <v>0</v>
      </c>
      <c r="J136" s="310" t="s">
        <v>74</v>
      </c>
      <c r="K136" s="364"/>
      <c r="L136" s="366"/>
      <c r="M136" s="344">
        <f t="shared" si="50"/>
        <v>0</v>
      </c>
      <c r="N136" s="366"/>
      <c r="O136" s="343">
        <f t="shared" si="51"/>
        <v>0</v>
      </c>
      <c r="P136" s="366"/>
      <c r="Q136" s="346">
        <f t="shared" si="52"/>
        <v>0</v>
      </c>
      <c r="R136" s="364"/>
      <c r="S136" s="364"/>
      <c r="T136" s="364"/>
      <c r="U136" s="364"/>
      <c r="V136" s="366"/>
      <c r="W136" s="350">
        <f t="shared" si="40"/>
        <v>0</v>
      </c>
      <c r="X136" s="366"/>
      <c r="Y136" s="366"/>
      <c r="Z136" s="351">
        <f t="shared" si="41"/>
        <v>0</v>
      </c>
      <c r="AA136" s="366"/>
      <c r="AB136" s="416"/>
      <c r="AC136" s="353">
        <f t="shared" si="42"/>
        <v>0</v>
      </c>
      <c r="AD136" s="354"/>
    </row>
    <row r="137" spans="1:30" s="322" customFormat="1" ht="60.75" customHeight="1" x14ac:dyDescent="0.25">
      <c r="A137" s="324"/>
      <c r="B137" s="323"/>
      <c r="C137" s="419" t="s">
        <v>495</v>
      </c>
      <c r="D137" s="414" t="s">
        <v>296</v>
      </c>
      <c r="E137" s="364" t="s">
        <v>688</v>
      </c>
      <c r="F137" s="341">
        <f>'Final OAP'!K137+'Final OAP'!O137+'Final OAP'!R137-'Final OAP'!U137</f>
        <v>0</v>
      </c>
      <c r="G137" s="341">
        <f>'Final OAP'!L137+'Final OAP'!P137+'Final OAP'!S137-'Final OAP'!V137</f>
        <v>0</v>
      </c>
      <c r="H137" s="341">
        <f>'Final OAP'!M137+'Final OAP'!Q137+'Final OAP'!T137-'Final OAP'!W137</f>
        <v>0</v>
      </c>
      <c r="I137" s="341">
        <f t="shared" si="36"/>
        <v>0</v>
      </c>
      <c r="J137" s="310" t="s">
        <v>74</v>
      </c>
      <c r="K137" s="364"/>
      <c r="L137" s="366"/>
      <c r="M137" s="344">
        <f t="shared" si="50"/>
        <v>0</v>
      </c>
      <c r="N137" s="366"/>
      <c r="O137" s="343">
        <f t="shared" si="51"/>
        <v>0</v>
      </c>
      <c r="P137" s="366"/>
      <c r="Q137" s="346">
        <f t="shared" si="52"/>
        <v>0</v>
      </c>
      <c r="R137" s="364"/>
      <c r="S137" s="364"/>
      <c r="T137" s="364"/>
      <c r="U137" s="364"/>
      <c r="V137" s="366"/>
      <c r="W137" s="350">
        <f t="shared" si="40"/>
        <v>0</v>
      </c>
      <c r="X137" s="366"/>
      <c r="Y137" s="366"/>
      <c r="Z137" s="351">
        <f t="shared" si="41"/>
        <v>0</v>
      </c>
      <c r="AA137" s="366"/>
      <c r="AB137" s="416"/>
      <c r="AC137" s="353">
        <f t="shared" si="42"/>
        <v>0</v>
      </c>
      <c r="AD137" s="354"/>
    </row>
    <row r="138" spans="1:30" s="322" customFormat="1" ht="88.5" customHeight="1" x14ac:dyDescent="0.25">
      <c r="A138" s="324"/>
      <c r="B138" s="323" t="s">
        <v>690</v>
      </c>
      <c r="C138" s="419" t="s">
        <v>495</v>
      </c>
      <c r="D138" s="414" t="s">
        <v>296</v>
      </c>
      <c r="E138" s="364" t="s">
        <v>682</v>
      </c>
      <c r="F138" s="341">
        <f>'Final OAP'!K138+'Final OAP'!O138+'Final OAP'!R138-'Final OAP'!U138</f>
        <v>0</v>
      </c>
      <c r="G138" s="341">
        <f>'Final OAP'!L138+'Final OAP'!P138+'Final OAP'!S138-'Final OAP'!V138</f>
        <v>3776000</v>
      </c>
      <c r="H138" s="341">
        <f>'Final OAP'!M138+'Final OAP'!Q138+'Final OAP'!T138-'Final OAP'!W138</f>
        <v>0</v>
      </c>
      <c r="I138" s="341">
        <f t="shared" si="36"/>
        <v>3776000</v>
      </c>
      <c r="J138" s="310" t="s">
        <v>74</v>
      </c>
      <c r="K138" s="364">
        <v>6119</v>
      </c>
      <c r="L138" s="366"/>
      <c r="M138" s="344">
        <f t="shared" si="50"/>
        <v>0</v>
      </c>
      <c r="N138" s="366">
        <f>7312561-3536561-495170</f>
        <v>3280830</v>
      </c>
      <c r="O138" s="343">
        <f>+G138-N138</f>
        <v>495170</v>
      </c>
      <c r="P138" s="366"/>
      <c r="Q138" s="346">
        <f t="shared" si="52"/>
        <v>0</v>
      </c>
      <c r="R138" s="364">
        <v>13819</v>
      </c>
      <c r="S138" s="395">
        <v>43556</v>
      </c>
      <c r="T138" s="364" t="s">
        <v>735</v>
      </c>
      <c r="U138" s="364" t="s">
        <v>736</v>
      </c>
      <c r="V138" s="366"/>
      <c r="W138" s="350">
        <f t="shared" si="40"/>
        <v>0</v>
      </c>
      <c r="X138" s="366"/>
      <c r="Y138" s="366">
        <f>3776000-495170</f>
        <v>3280830</v>
      </c>
      <c r="Z138" s="351">
        <f t="shared" si="41"/>
        <v>495170</v>
      </c>
      <c r="AA138" s="366">
        <f>1428000+285600+285600+1281630</f>
        <v>3280830</v>
      </c>
      <c r="AB138" s="416"/>
      <c r="AC138" s="353">
        <f t="shared" si="42"/>
        <v>0</v>
      </c>
      <c r="AD138" s="354"/>
    </row>
    <row r="139" spans="1:30" s="322" customFormat="1" ht="106.5" customHeight="1" x14ac:dyDescent="0.25">
      <c r="A139" s="324"/>
      <c r="B139" s="323" t="s">
        <v>690</v>
      </c>
      <c r="C139" s="419" t="s">
        <v>495</v>
      </c>
      <c r="D139" s="414" t="s">
        <v>296</v>
      </c>
      <c r="E139" s="545" t="s">
        <v>1095</v>
      </c>
      <c r="F139" s="341">
        <v>232846</v>
      </c>
      <c r="G139" s="341">
        <v>6117778</v>
      </c>
      <c r="H139" s="341">
        <f>'Final OAP'!M139+'Final OAP'!Q139+'Final OAP'!T139-'Final OAP'!W139</f>
        <v>0</v>
      </c>
      <c r="I139" s="341">
        <f t="shared" ref="I139" si="53">+G139+H139+F139</f>
        <v>6350624</v>
      </c>
      <c r="J139" s="310" t="s">
        <v>74</v>
      </c>
      <c r="K139" s="548">
        <v>34719</v>
      </c>
      <c r="L139" s="366">
        <v>232846</v>
      </c>
      <c r="M139" s="344">
        <f t="shared" ref="M139" si="54">F139-L139</f>
        <v>0</v>
      </c>
      <c r="N139" s="343">
        <v>6056304</v>
      </c>
      <c r="O139" s="343">
        <f>+G139-N139</f>
        <v>61474</v>
      </c>
      <c r="P139" s="366"/>
      <c r="Q139" s="346">
        <f t="shared" ref="Q139" si="55">H139-P139</f>
        <v>0</v>
      </c>
      <c r="R139" s="558">
        <v>55919</v>
      </c>
      <c r="S139" s="395">
        <v>43805</v>
      </c>
      <c r="T139" s="558" t="s">
        <v>1165</v>
      </c>
      <c r="U139" s="558" t="s">
        <v>1164</v>
      </c>
      <c r="V139" s="366">
        <v>232846</v>
      </c>
      <c r="W139" s="350">
        <f t="shared" ref="W139" si="56">F139-V139</f>
        <v>0</v>
      </c>
      <c r="X139" s="366"/>
      <c r="Y139" s="366">
        <v>3172154</v>
      </c>
      <c r="Z139" s="351">
        <f t="shared" ref="Z139" si="57">G139-Y139</f>
        <v>2945624</v>
      </c>
      <c r="AA139" s="366"/>
      <c r="AB139" s="416"/>
      <c r="AC139" s="353">
        <f t="shared" ref="AC139" si="58">H139-AB139</f>
        <v>0</v>
      </c>
      <c r="AD139" s="354"/>
    </row>
    <row r="140" spans="1:30" s="322" customFormat="1" ht="166.5" customHeight="1" x14ac:dyDescent="0.25">
      <c r="A140" s="324" t="s">
        <v>690</v>
      </c>
      <c r="B140" s="323" t="s">
        <v>690</v>
      </c>
      <c r="C140" s="419" t="s">
        <v>495</v>
      </c>
      <c r="D140" s="414" t="s">
        <v>296</v>
      </c>
      <c r="E140" s="364" t="s">
        <v>683</v>
      </c>
      <c r="F140" s="341">
        <f>'Final OAP'!K140+'Final OAP'!O140+'Final OAP'!R140-'Final OAP'!U140</f>
        <v>0</v>
      </c>
      <c r="G140" s="341">
        <f>'Final OAP'!L140+'Final OAP'!P140+'Final OAP'!S140-'Final OAP'!V140</f>
        <v>2335958</v>
      </c>
      <c r="H140" s="341">
        <f>'Final OAP'!M140+'Final OAP'!Q140+'Final OAP'!T140-'Final OAP'!W140</f>
        <v>0</v>
      </c>
      <c r="I140" s="341">
        <f t="shared" si="36"/>
        <v>2335958</v>
      </c>
      <c r="J140" s="310" t="s">
        <v>74</v>
      </c>
      <c r="K140" s="364">
        <v>36219</v>
      </c>
      <c r="L140" s="366"/>
      <c r="M140" s="344">
        <f t="shared" si="50"/>
        <v>0</v>
      </c>
      <c r="N140" s="366">
        <v>1277886</v>
      </c>
      <c r="O140" s="343">
        <f t="shared" si="51"/>
        <v>1058072</v>
      </c>
      <c r="P140" s="366"/>
      <c r="Q140" s="346">
        <f t="shared" si="52"/>
        <v>0</v>
      </c>
      <c r="R140" s="558">
        <v>57119</v>
      </c>
      <c r="S140" s="395">
        <v>43816</v>
      </c>
      <c r="T140" s="364" t="s">
        <v>1171</v>
      </c>
      <c r="U140" s="558" t="s">
        <v>1170</v>
      </c>
      <c r="V140" s="366"/>
      <c r="W140" s="350">
        <f t="shared" si="40"/>
        <v>0</v>
      </c>
      <c r="X140" s="366"/>
      <c r="Y140" s="366">
        <v>893000</v>
      </c>
      <c r="Z140" s="351">
        <f t="shared" si="41"/>
        <v>1442958</v>
      </c>
      <c r="AA140" s="366"/>
      <c r="AB140" s="416"/>
      <c r="AC140" s="353">
        <f t="shared" si="42"/>
        <v>0</v>
      </c>
      <c r="AD140" s="354"/>
    </row>
    <row r="141" spans="1:30" s="322" customFormat="1" ht="60.75" customHeight="1" x14ac:dyDescent="0.25">
      <c r="A141" s="324" t="s">
        <v>690</v>
      </c>
      <c r="B141" s="323" t="s">
        <v>690</v>
      </c>
      <c r="C141" s="419" t="s">
        <v>495</v>
      </c>
      <c r="D141" s="414" t="s">
        <v>296</v>
      </c>
      <c r="E141" s="364" t="s">
        <v>684</v>
      </c>
      <c r="F141" s="341">
        <f>'Final OAP'!K141+'Final OAP'!O141+'Final OAP'!R141-'Final OAP'!U141</f>
        <v>0</v>
      </c>
      <c r="G141" s="341">
        <f>'Final OAP'!L141+'Final OAP'!P141+'Final OAP'!S141-'Final OAP'!V141</f>
        <v>800000</v>
      </c>
      <c r="H141" s="341">
        <f>'Final OAP'!M141+'Final OAP'!Q141+'Final OAP'!T141-'Final OAP'!W141</f>
        <v>0</v>
      </c>
      <c r="I141" s="341">
        <f t="shared" si="36"/>
        <v>800000</v>
      </c>
      <c r="J141" s="310" t="s">
        <v>74</v>
      </c>
      <c r="K141" s="364">
        <v>16519</v>
      </c>
      <c r="L141" s="366"/>
      <c r="M141" s="344">
        <f t="shared" ref="M141:M172" si="59">F141-L141</f>
        <v>0</v>
      </c>
      <c r="N141" s="366">
        <f>684250-54250</f>
        <v>630000</v>
      </c>
      <c r="O141" s="343">
        <f t="shared" ref="O141:O172" si="60">+G141-N141</f>
        <v>170000</v>
      </c>
      <c r="P141" s="366"/>
      <c r="Q141" s="346">
        <f t="shared" ref="Q141:Q172" si="61">H141-P141</f>
        <v>0</v>
      </c>
      <c r="R141" s="364">
        <v>30519</v>
      </c>
      <c r="S141" s="395">
        <v>43662</v>
      </c>
      <c r="T141" s="364" t="s">
        <v>828</v>
      </c>
      <c r="U141" s="364" t="s">
        <v>829</v>
      </c>
      <c r="V141" s="366"/>
      <c r="W141" s="350">
        <f t="shared" si="40"/>
        <v>0</v>
      </c>
      <c r="X141" s="366"/>
      <c r="Y141" s="366">
        <v>630000</v>
      </c>
      <c r="Z141" s="351">
        <f t="shared" si="41"/>
        <v>170000</v>
      </c>
      <c r="AA141" s="366">
        <v>630000</v>
      </c>
      <c r="AB141" s="416"/>
      <c r="AC141" s="353">
        <f t="shared" si="42"/>
        <v>0</v>
      </c>
      <c r="AD141" s="354"/>
    </row>
    <row r="142" spans="1:30" s="322" customFormat="1" ht="60.75" customHeight="1" x14ac:dyDescent="0.25">
      <c r="A142" s="412" t="s">
        <v>337</v>
      </c>
      <c r="B142" s="413" t="s">
        <v>337</v>
      </c>
      <c r="C142" s="419" t="s">
        <v>495</v>
      </c>
      <c r="D142" s="414" t="s">
        <v>296</v>
      </c>
      <c r="E142" s="415" t="s">
        <v>447</v>
      </c>
      <c r="F142" s="341">
        <f>'Final OAP'!K142+'Final OAP'!O142+'Final OAP'!R142-'Final OAP'!U142</f>
        <v>0</v>
      </c>
      <c r="G142" s="341">
        <f>'Final OAP'!L142+'Final OAP'!P142+'Final OAP'!S142-'Final OAP'!V142</f>
        <v>0</v>
      </c>
      <c r="H142" s="341">
        <f>'Final OAP'!M142+'Final OAP'!Q142+'Final OAP'!T142-'Final OAP'!W142</f>
        <v>0</v>
      </c>
      <c r="I142" s="341">
        <f t="shared" ref="I142:I183" si="62">+G142+H142+F142</f>
        <v>0</v>
      </c>
      <c r="J142" s="310" t="s">
        <v>74</v>
      </c>
      <c r="K142" s="364"/>
      <c r="L142" s="366"/>
      <c r="M142" s="344">
        <f t="shared" si="59"/>
        <v>0</v>
      </c>
      <c r="N142" s="366"/>
      <c r="O142" s="343">
        <f t="shared" si="60"/>
        <v>0</v>
      </c>
      <c r="P142" s="366"/>
      <c r="Q142" s="346">
        <f t="shared" si="61"/>
        <v>0</v>
      </c>
      <c r="R142" s="364"/>
      <c r="S142" s="364"/>
      <c r="T142" s="364"/>
      <c r="U142" s="364"/>
      <c r="V142" s="366"/>
      <c r="W142" s="350">
        <f t="shared" ref="W142:W183" si="63">F142-V142</f>
        <v>0</v>
      </c>
      <c r="X142" s="366"/>
      <c r="Y142" s="366"/>
      <c r="Z142" s="351">
        <f t="shared" ref="Z142:Z183" si="64">G142-Y142</f>
        <v>0</v>
      </c>
      <c r="AA142" s="366"/>
      <c r="AB142" s="416"/>
      <c r="AC142" s="353">
        <f t="shared" ref="AC142:AC183" si="65">H142-AB142</f>
        <v>0</v>
      </c>
      <c r="AD142" s="354"/>
    </row>
    <row r="143" spans="1:30" s="322" customFormat="1" ht="121.5" customHeight="1" x14ac:dyDescent="0.3">
      <c r="A143" s="412" t="s">
        <v>501</v>
      </c>
      <c r="B143" s="413" t="s">
        <v>501</v>
      </c>
      <c r="C143" s="419" t="s">
        <v>495</v>
      </c>
      <c r="D143" s="414" t="s">
        <v>296</v>
      </c>
      <c r="E143" s="377" t="s">
        <v>454</v>
      </c>
      <c r="F143" s="341">
        <f>'Final OAP'!K143+'Final OAP'!O143+'Final OAP'!R143-'Final OAP'!U143</f>
        <v>3300000</v>
      </c>
      <c r="G143" s="341">
        <f>'Final OAP'!L143+'Final OAP'!P143+'Final OAP'!S143-'Final OAP'!V143</f>
        <v>0</v>
      </c>
      <c r="H143" s="341">
        <f>'Final OAP'!M143+'Final OAP'!Q143+'Final OAP'!T143-'Final OAP'!W143</f>
        <v>0</v>
      </c>
      <c r="I143" s="341">
        <f t="shared" si="62"/>
        <v>3300000</v>
      </c>
      <c r="J143" s="310" t="s">
        <v>74</v>
      </c>
      <c r="K143" s="364" t="s">
        <v>1144</v>
      </c>
      <c r="L143" s="366">
        <f>300000+326150+139156+52500+223100+50000+346600</f>
        <v>1437506</v>
      </c>
      <c r="M143" s="344">
        <f t="shared" si="59"/>
        <v>1862494</v>
      </c>
      <c r="N143" s="366"/>
      <c r="O143" s="343">
        <f t="shared" si="60"/>
        <v>0</v>
      </c>
      <c r="P143" s="343"/>
      <c r="Q143" s="346">
        <f t="shared" si="61"/>
        <v>0</v>
      </c>
      <c r="R143" s="364" t="s">
        <v>1166</v>
      </c>
      <c r="S143" s="395" t="s">
        <v>1169</v>
      </c>
      <c r="T143" s="364" t="s">
        <v>1149</v>
      </c>
      <c r="U143" s="364" t="s">
        <v>659</v>
      </c>
      <c r="V143" s="366">
        <f>300000+326150+139156+52500+223100+50000+346600</f>
        <v>1437506</v>
      </c>
      <c r="W143" s="350">
        <f t="shared" si="63"/>
        <v>1862494</v>
      </c>
      <c r="X143" s="366">
        <f>300000+326150+139156+52500+223100+50000+346600</f>
        <v>1437506</v>
      </c>
      <c r="Y143" s="366"/>
      <c r="Z143" s="351">
        <f t="shared" si="64"/>
        <v>0</v>
      </c>
      <c r="AA143" s="366"/>
      <c r="AB143" s="392"/>
      <c r="AC143" s="353">
        <f t="shared" si="65"/>
        <v>0</v>
      </c>
      <c r="AD143" s="354"/>
    </row>
    <row r="144" spans="1:30" s="322" customFormat="1" ht="162" customHeight="1" x14ac:dyDescent="0.3">
      <c r="A144" s="412" t="s">
        <v>392</v>
      </c>
      <c r="B144" s="413" t="s">
        <v>392</v>
      </c>
      <c r="C144" s="419" t="s">
        <v>495</v>
      </c>
      <c r="D144" s="414" t="s">
        <v>296</v>
      </c>
      <c r="E144" s="377" t="s">
        <v>455</v>
      </c>
      <c r="F144" s="341">
        <f>'Final OAP'!K144+'Final OAP'!O144+'Final OAP'!R144-'Final OAP'!U144</f>
        <v>2750000</v>
      </c>
      <c r="G144" s="341">
        <f>'Final OAP'!L144+'Final OAP'!P144+'Final OAP'!S144-'Final OAP'!V144</f>
        <v>0</v>
      </c>
      <c r="H144" s="341">
        <f>'Final OAP'!M144+'Final OAP'!Q144+'Final OAP'!T144-'Final OAP'!W144</f>
        <v>0</v>
      </c>
      <c r="I144" s="341">
        <f t="shared" si="62"/>
        <v>2750000</v>
      </c>
      <c r="J144" s="310" t="s">
        <v>74</v>
      </c>
      <c r="K144" s="364" t="s">
        <v>998</v>
      </c>
      <c r="L144" s="366">
        <f>250000+83900+242500+279998+322600+476635+512750+156117+114241</f>
        <v>2438741</v>
      </c>
      <c r="M144" s="344">
        <f t="shared" si="59"/>
        <v>311259</v>
      </c>
      <c r="N144" s="366"/>
      <c r="O144" s="343">
        <f t="shared" si="60"/>
        <v>0</v>
      </c>
      <c r="P144" s="343"/>
      <c r="Q144" s="346">
        <f t="shared" si="61"/>
        <v>0</v>
      </c>
      <c r="R144" s="364" t="s">
        <v>999</v>
      </c>
      <c r="S144" s="395" t="s">
        <v>1000</v>
      </c>
      <c r="T144" s="364" t="s">
        <v>1001</v>
      </c>
      <c r="U144" s="364" t="s">
        <v>659</v>
      </c>
      <c r="V144" s="366">
        <f>250000+83900+242500+279998+322600+476635+512750+156117+114241</f>
        <v>2438741</v>
      </c>
      <c r="W144" s="350">
        <f t="shared" si="63"/>
        <v>311259</v>
      </c>
      <c r="X144" s="366">
        <f>250000+83900+242500+279998+322600+476635+512750+156117+114241</f>
        <v>2438741</v>
      </c>
      <c r="Y144" s="366"/>
      <c r="Z144" s="351">
        <f t="shared" si="64"/>
        <v>0</v>
      </c>
      <c r="AA144" s="366"/>
      <c r="AB144" s="392"/>
      <c r="AC144" s="353">
        <f t="shared" si="65"/>
        <v>0</v>
      </c>
      <c r="AD144" s="354"/>
    </row>
    <row r="145" spans="1:30" s="322" customFormat="1" ht="141.75" customHeight="1" x14ac:dyDescent="0.3">
      <c r="A145" s="412" t="s">
        <v>331</v>
      </c>
      <c r="B145" s="413" t="s">
        <v>331</v>
      </c>
      <c r="C145" s="419" t="s">
        <v>495</v>
      </c>
      <c r="D145" s="414" t="s">
        <v>296</v>
      </c>
      <c r="E145" s="377" t="s">
        <v>307</v>
      </c>
      <c r="F145" s="341">
        <f>'Final OAP'!K145+'Final OAP'!O145+'Final OAP'!R145-'Final OAP'!U145</f>
        <v>317154</v>
      </c>
      <c r="G145" s="341">
        <f>'Final OAP'!L145+'Final OAP'!P145+'Final OAP'!S145-'Final OAP'!V145</f>
        <v>0</v>
      </c>
      <c r="H145" s="341">
        <f>'Final OAP'!M145+'Final OAP'!Q145+'Final OAP'!T145-'Final OAP'!W145</f>
        <v>0</v>
      </c>
      <c r="I145" s="341">
        <f t="shared" si="62"/>
        <v>317154</v>
      </c>
      <c r="J145" s="310" t="s">
        <v>74</v>
      </c>
      <c r="K145" s="364" t="s">
        <v>881</v>
      </c>
      <c r="L145" s="366">
        <f>50000+11000+11000+4522+27132+13500</f>
        <v>117154</v>
      </c>
      <c r="M145" s="344">
        <f t="shared" si="59"/>
        <v>200000</v>
      </c>
      <c r="N145" s="366"/>
      <c r="O145" s="343">
        <f t="shared" si="60"/>
        <v>0</v>
      </c>
      <c r="P145" s="343"/>
      <c r="Q145" s="346">
        <f t="shared" si="61"/>
        <v>0</v>
      </c>
      <c r="R145" s="364" t="s">
        <v>1147</v>
      </c>
      <c r="S145" s="395" t="s">
        <v>888</v>
      </c>
      <c r="T145" s="364" t="s">
        <v>889</v>
      </c>
      <c r="U145" s="364" t="s">
        <v>659</v>
      </c>
      <c r="V145" s="366">
        <f>50000+11000+11000+4522+27132+13500</f>
        <v>117154</v>
      </c>
      <c r="W145" s="350">
        <f t="shared" si="63"/>
        <v>200000</v>
      </c>
      <c r="X145" s="327">
        <f>50000+11000+11000+4522+27132+13500</f>
        <v>117154</v>
      </c>
      <c r="Y145" s="366"/>
      <c r="Z145" s="351">
        <f t="shared" si="64"/>
        <v>0</v>
      </c>
      <c r="AA145" s="366"/>
      <c r="AB145" s="392"/>
      <c r="AC145" s="353">
        <f t="shared" si="65"/>
        <v>0</v>
      </c>
      <c r="AD145" s="354"/>
    </row>
    <row r="146" spans="1:30" s="322" customFormat="1" ht="101.25" customHeight="1" x14ac:dyDescent="0.25">
      <c r="A146" s="421" t="s">
        <v>587</v>
      </c>
      <c r="B146" s="413" t="s">
        <v>331</v>
      </c>
      <c r="C146" s="419" t="s">
        <v>495</v>
      </c>
      <c r="D146" s="414" t="s">
        <v>296</v>
      </c>
      <c r="E146" s="424" t="s">
        <v>306</v>
      </c>
      <c r="F146" s="341">
        <f>'Final OAP'!K146+'Final OAP'!O146+'Final OAP'!R146-'Final OAP'!U146</f>
        <v>0</v>
      </c>
      <c r="G146" s="341">
        <f>'Final OAP'!L146+'Final OAP'!P146+'Final OAP'!S146-'Final OAP'!V146</f>
        <v>5605435</v>
      </c>
      <c r="H146" s="341">
        <f>'Final OAP'!M146+'Final OAP'!Q146+'Final OAP'!T146-'Final OAP'!W146</f>
        <v>0</v>
      </c>
      <c r="I146" s="341">
        <f t="shared" si="62"/>
        <v>5605435</v>
      </c>
      <c r="J146" s="310" t="s">
        <v>74</v>
      </c>
      <c r="K146" s="356" t="s">
        <v>1074</v>
      </c>
      <c r="L146" s="368"/>
      <c r="M146" s="344">
        <f t="shared" si="59"/>
        <v>0</v>
      </c>
      <c r="N146" s="366">
        <f>3515587-410152+2500000</f>
        <v>5605435</v>
      </c>
      <c r="O146" s="343">
        <f t="shared" si="60"/>
        <v>0</v>
      </c>
      <c r="P146" s="343"/>
      <c r="Q146" s="346">
        <f t="shared" si="61"/>
        <v>0</v>
      </c>
      <c r="R146" s="364" t="s">
        <v>1176</v>
      </c>
      <c r="S146" s="356" t="s">
        <v>1177</v>
      </c>
      <c r="T146" s="356" t="s">
        <v>1178</v>
      </c>
      <c r="U146" s="356" t="s">
        <v>660</v>
      </c>
      <c r="V146" s="368"/>
      <c r="W146" s="350">
        <f t="shared" si="63"/>
        <v>0</v>
      </c>
      <c r="X146" s="368"/>
      <c r="Y146" s="368">
        <f>621087+621087+621087+621087+621087+621087+621087</f>
        <v>4347609</v>
      </c>
      <c r="Z146" s="351">
        <f t="shared" si="64"/>
        <v>1257826</v>
      </c>
      <c r="AA146" s="368">
        <f>621087+621087+621087+621087+621087+621087</f>
        <v>3726522</v>
      </c>
      <c r="AB146" s="369"/>
      <c r="AC146" s="353">
        <f t="shared" si="65"/>
        <v>0</v>
      </c>
      <c r="AD146" s="354"/>
    </row>
    <row r="147" spans="1:30" ht="81" customHeight="1" x14ac:dyDescent="0.3">
      <c r="A147" s="421" t="s">
        <v>590</v>
      </c>
      <c r="B147" s="314" t="s">
        <v>492</v>
      </c>
      <c r="C147" s="419" t="s">
        <v>495</v>
      </c>
      <c r="D147" s="414" t="s">
        <v>296</v>
      </c>
      <c r="E147" s="377" t="s">
        <v>430</v>
      </c>
      <c r="F147" s="341">
        <f>'Final OAP'!K147+'Final OAP'!O147+'Final OAP'!R147-'Final OAP'!U147</f>
        <v>22093500</v>
      </c>
      <c r="G147" s="341">
        <f>'Final OAP'!L147+'Final OAP'!P147+'Final OAP'!S147-'Final OAP'!V147</f>
        <v>12903000</v>
      </c>
      <c r="H147" s="341">
        <f>'Final OAP'!M147+'Final OAP'!Q147+'Final OAP'!T147-'Final OAP'!W147</f>
        <v>0</v>
      </c>
      <c r="I147" s="341">
        <f t="shared" si="62"/>
        <v>34996500</v>
      </c>
      <c r="J147" s="310" t="s">
        <v>74</v>
      </c>
      <c r="K147" s="356">
        <v>2719</v>
      </c>
      <c r="L147" s="368">
        <v>22093500</v>
      </c>
      <c r="M147" s="344">
        <f t="shared" si="59"/>
        <v>0</v>
      </c>
      <c r="N147" s="366">
        <v>12903000</v>
      </c>
      <c r="O147" s="343">
        <f t="shared" si="60"/>
        <v>0</v>
      </c>
      <c r="P147" s="343"/>
      <c r="Q147" s="346">
        <f t="shared" si="61"/>
        <v>0</v>
      </c>
      <c r="R147" s="364" t="s">
        <v>579</v>
      </c>
      <c r="S147" s="395">
        <v>43494</v>
      </c>
      <c r="T147" s="356" t="s">
        <v>581</v>
      </c>
      <c r="U147" s="356" t="s">
        <v>580</v>
      </c>
      <c r="V147" s="368">
        <v>22093500</v>
      </c>
      <c r="W147" s="350">
        <f t="shared" si="63"/>
        <v>0</v>
      </c>
      <c r="X147" s="327">
        <f>12726000+3181500+3181500+3004500</f>
        <v>22093500</v>
      </c>
      <c r="Y147" s="368">
        <v>12903000</v>
      </c>
      <c r="Z147" s="351">
        <f t="shared" si="64"/>
        <v>0</v>
      </c>
      <c r="AA147" s="368">
        <f>177000+3181500+3181500+3181500+3181500</f>
        <v>12903000</v>
      </c>
      <c r="AB147" s="369"/>
      <c r="AC147" s="353">
        <f t="shared" si="65"/>
        <v>0</v>
      </c>
      <c r="AD147" s="354"/>
    </row>
    <row r="148" spans="1:30" s="365" customFormat="1" ht="182.25" customHeight="1" x14ac:dyDescent="0.3">
      <c r="A148" s="315" t="s">
        <v>488</v>
      </c>
      <c r="B148" s="314" t="s">
        <v>488</v>
      </c>
      <c r="C148" s="419" t="s">
        <v>495</v>
      </c>
      <c r="D148" s="414" t="s">
        <v>296</v>
      </c>
      <c r="E148" s="425" t="s">
        <v>517</v>
      </c>
      <c r="F148" s="341">
        <f>'Final OAP'!K148+'Final OAP'!O148+'Final OAP'!R148-'Final OAP'!U148</f>
        <v>10519500</v>
      </c>
      <c r="G148" s="341">
        <f>'Final OAP'!L148+'Final OAP'!P148+'Final OAP'!S148-'Final OAP'!V148</f>
        <v>18962597</v>
      </c>
      <c r="H148" s="341">
        <f>'Final OAP'!M148+'Final OAP'!Q148+'Final OAP'!T148-'Final OAP'!W148</f>
        <v>0</v>
      </c>
      <c r="I148" s="341">
        <f t="shared" si="62"/>
        <v>29482097</v>
      </c>
      <c r="J148" s="310" t="s">
        <v>74</v>
      </c>
      <c r="K148" s="356" t="s">
        <v>886</v>
      </c>
      <c r="L148" s="368">
        <v>10519500</v>
      </c>
      <c r="M148" s="344">
        <f t="shared" si="59"/>
        <v>0</v>
      </c>
      <c r="N148" s="366">
        <f>18527660-1065063+1500000</f>
        <v>18962597</v>
      </c>
      <c r="O148" s="343">
        <f t="shared" si="60"/>
        <v>0</v>
      </c>
      <c r="P148" s="343"/>
      <c r="Q148" s="346">
        <f t="shared" si="61"/>
        <v>0</v>
      </c>
      <c r="R148" s="364" t="s">
        <v>892</v>
      </c>
      <c r="S148" s="356" t="s">
        <v>893</v>
      </c>
      <c r="T148" s="356" t="s">
        <v>894</v>
      </c>
      <c r="U148" s="356" t="s">
        <v>895</v>
      </c>
      <c r="V148" s="368">
        <v>10519500</v>
      </c>
      <c r="W148" s="350">
        <f t="shared" si="63"/>
        <v>0</v>
      </c>
      <c r="X148" s="327">
        <f>2904716+2904716+2904716+1805352</f>
        <v>10519500</v>
      </c>
      <c r="Y148" s="368">
        <f>17462597+1500000</f>
        <v>18962597</v>
      </c>
      <c r="Z148" s="351">
        <f t="shared" si="64"/>
        <v>0</v>
      </c>
      <c r="AA148" s="366">
        <f>4004080+1500000+2904716+2904716+2904716+2904716+1839653</f>
        <v>18962597</v>
      </c>
      <c r="AB148" s="369"/>
      <c r="AC148" s="353">
        <f t="shared" si="65"/>
        <v>0</v>
      </c>
      <c r="AD148" s="354"/>
    </row>
    <row r="149" spans="1:30" s="322" customFormat="1" ht="131.25" customHeight="1" x14ac:dyDescent="0.25">
      <c r="A149" s="319" t="s">
        <v>589</v>
      </c>
      <c r="B149" s="314" t="s">
        <v>488</v>
      </c>
      <c r="C149" s="419" t="s">
        <v>495</v>
      </c>
      <c r="D149" s="356" t="s">
        <v>296</v>
      </c>
      <c r="E149" s="306" t="s">
        <v>315</v>
      </c>
      <c r="F149" s="341">
        <f>'Final OAP'!K149+'Final OAP'!O149+'Final OAP'!R149-'Final OAP'!U149</f>
        <v>657800</v>
      </c>
      <c r="G149" s="341">
        <f>'Final OAP'!L149+'Final OAP'!P149+'Final OAP'!S149-'Final OAP'!V149</f>
        <v>36179000</v>
      </c>
      <c r="H149" s="341">
        <f>'Final OAP'!M149+'Final OAP'!Q149+'Final OAP'!T149-'Final OAP'!W149</f>
        <v>0</v>
      </c>
      <c r="I149" s="341">
        <f t="shared" si="62"/>
        <v>36836800</v>
      </c>
      <c r="J149" s="310" t="s">
        <v>74</v>
      </c>
      <c r="K149" s="364" t="s">
        <v>1061</v>
      </c>
      <c r="L149" s="366">
        <v>657800</v>
      </c>
      <c r="M149" s="344">
        <f t="shared" si="59"/>
        <v>0</v>
      </c>
      <c r="N149" s="366">
        <f>32890000+3289000</f>
        <v>36179000</v>
      </c>
      <c r="O149" s="343">
        <f t="shared" si="60"/>
        <v>0</v>
      </c>
      <c r="P149" s="343"/>
      <c r="Q149" s="346">
        <f t="shared" si="61"/>
        <v>0</v>
      </c>
      <c r="R149" s="364" t="s">
        <v>1104</v>
      </c>
      <c r="S149" s="395" t="s">
        <v>1105</v>
      </c>
      <c r="T149" s="394" t="s">
        <v>543</v>
      </c>
      <c r="U149" s="364" t="s">
        <v>544</v>
      </c>
      <c r="V149" s="366">
        <v>657800</v>
      </c>
      <c r="W149" s="350">
        <f t="shared" si="63"/>
        <v>0</v>
      </c>
      <c r="X149" s="366">
        <v>657800</v>
      </c>
      <c r="Y149" s="368">
        <f>32890000+3289000</f>
        <v>36179000</v>
      </c>
      <c r="Z149" s="351">
        <f t="shared" si="64"/>
        <v>0</v>
      </c>
      <c r="AA149" s="366">
        <f>23023000+3289000+3289000+3289000+3289000</f>
        <v>36179000</v>
      </c>
      <c r="AB149" s="420"/>
      <c r="AC149" s="353">
        <f t="shared" si="65"/>
        <v>0</v>
      </c>
      <c r="AD149" s="354"/>
    </row>
    <row r="150" spans="1:30" s="322" customFormat="1" ht="106.5" customHeight="1" x14ac:dyDescent="0.25">
      <c r="A150" s="412" t="s">
        <v>330</v>
      </c>
      <c r="B150" s="413" t="s">
        <v>330</v>
      </c>
      <c r="C150" s="419" t="s">
        <v>495</v>
      </c>
      <c r="D150" s="414" t="s">
        <v>296</v>
      </c>
      <c r="E150" s="306" t="s">
        <v>312</v>
      </c>
      <c r="F150" s="341">
        <f>'Final OAP'!K150+'Final OAP'!O150+'Final OAP'!R150-'Final OAP'!U150</f>
        <v>7500000</v>
      </c>
      <c r="G150" s="341">
        <f>'Final OAP'!L150+'Final OAP'!P150+'Final OAP'!S150-'Final OAP'!V150</f>
        <v>0</v>
      </c>
      <c r="H150" s="341">
        <f>'Final OAP'!M150+'Final OAP'!Q150+'Final OAP'!T150-'Final OAP'!W150</f>
        <v>0</v>
      </c>
      <c r="I150" s="341">
        <f t="shared" si="62"/>
        <v>7500000</v>
      </c>
      <c r="J150" s="310" t="s">
        <v>74</v>
      </c>
      <c r="K150" s="364">
        <v>8419</v>
      </c>
      <c r="L150" s="366">
        <v>7500000</v>
      </c>
      <c r="M150" s="344">
        <f t="shared" si="59"/>
        <v>0</v>
      </c>
      <c r="N150" s="366"/>
      <c r="O150" s="343">
        <f t="shared" si="60"/>
        <v>0</v>
      </c>
      <c r="P150" s="366"/>
      <c r="Q150" s="346">
        <f t="shared" si="61"/>
        <v>0</v>
      </c>
      <c r="R150" s="364">
        <v>18419</v>
      </c>
      <c r="S150" s="395">
        <v>43585</v>
      </c>
      <c r="T150" s="364" t="s">
        <v>756</v>
      </c>
      <c r="U150" s="364" t="s">
        <v>755</v>
      </c>
      <c r="V150" s="366">
        <v>7500000</v>
      </c>
      <c r="W150" s="350">
        <f t="shared" si="63"/>
        <v>0</v>
      </c>
      <c r="X150" s="529">
        <f>1946553+1425747+1420987+2472055</f>
        <v>7265342</v>
      </c>
      <c r="Y150" s="366"/>
      <c r="Z150" s="351">
        <f t="shared" si="64"/>
        <v>0</v>
      </c>
      <c r="AA150" s="366"/>
      <c r="AB150" s="416"/>
      <c r="AC150" s="353">
        <f t="shared" si="65"/>
        <v>0</v>
      </c>
      <c r="AD150" s="354"/>
    </row>
    <row r="151" spans="1:30" s="322" customFormat="1" ht="97.5" customHeight="1" x14ac:dyDescent="0.25">
      <c r="A151" s="412" t="s">
        <v>330</v>
      </c>
      <c r="B151" s="413" t="s">
        <v>330</v>
      </c>
      <c r="C151" s="419" t="s">
        <v>495</v>
      </c>
      <c r="D151" s="414" t="s">
        <v>296</v>
      </c>
      <c r="E151" s="306" t="s">
        <v>313</v>
      </c>
      <c r="F151" s="341">
        <f>'Final OAP'!K151+'Final OAP'!O151+'Final OAP'!R151-'Final OAP'!U151</f>
        <v>7000000</v>
      </c>
      <c r="G151" s="341">
        <f>'Final OAP'!L151+'Final OAP'!P151+'Final OAP'!S151-'Final OAP'!V151</f>
        <v>0</v>
      </c>
      <c r="H151" s="341">
        <f>'Final OAP'!M151+'Final OAP'!Q151+'Final OAP'!T151-'Final OAP'!W151</f>
        <v>0</v>
      </c>
      <c r="I151" s="341">
        <f t="shared" si="62"/>
        <v>7000000</v>
      </c>
      <c r="J151" s="310" t="s">
        <v>74</v>
      </c>
      <c r="K151" s="364">
        <v>8419</v>
      </c>
      <c r="L151" s="366">
        <v>7000000</v>
      </c>
      <c r="M151" s="344">
        <f t="shared" si="59"/>
        <v>0</v>
      </c>
      <c r="N151" s="366"/>
      <c r="O151" s="343">
        <f t="shared" si="60"/>
        <v>0</v>
      </c>
      <c r="P151" s="366"/>
      <c r="Q151" s="346">
        <f t="shared" si="61"/>
        <v>0</v>
      </c>
      <c r="R151" s="364">
        <v>18419</v>
      </c>
      <c r="S151" s="395">
        <v>43585</v>
      </c>
      <c r="T151" s="364" t="s">
        <v>756</v>
      </c>
      <c r="U151" s="364" t="s">
        <v>755</v>
      </c>
      <c r="V151" s="366">
        <v>7000000</v>
      </c>
      <c r="W151" s="350">
        <f t="shared" si="63"/>
        <v>0</v>
      </c>
      <c r="X151" s="529">
        <v>2472054.83</v>
      </c>
      <c r="Y151" s="366"/>
      <c r="Z151" s="351">
        <f t="shared" si="64"/>
        <v>0</v>
      </c>
      <c r="AA151" s="366"/>
      <c r="AB151" s="416"/>
      <c r="AC151" s="353">
        <f t="shared" si="65"/>
        <v>0</v>
      </c>
      <c r="AD151" s="354"/>
    </row>
    <row r="152" spans="1:30" s="322" customFormat="1" ht="153.75" customHeight="1" x14ac:dyDescent="0.25">
      <c r="A152" s="315" t="s">
        <v>493</v>
      </c>
      <c r="B152" s="314" t="s">
        <v>493</v>
      </c>
      <c r="C152" s="419" t="s">
        <v>495</v>
      </c>
      <c r="D152" s="414" t="s">
        <v>296</v>
      </c>
      <c r="E152" s="377" t="s">
        <v>540</v>
      </c>
      <c r="F152" s="341">
        <f>'Final OAP'!K152+'Final OAP'!O152+'Final OAP'!R152-'Final OAP'!U152</f>
        <v>2570352</v>
      </c>
      <c r="G152" s="341">
        <f>'Final OAP'!L152+'Final OAP'!P152+'Final OAP'!S152-'Final OAP'!V152</f>
        <v>0</v>
      </c>
      <c r="H152" s="341">
        <f>'Final OAP'!M152+'Final OAP'!Q152+'Final OAP'!T152-'Final OAP'!W152</f>
        <v>0</v>
      </c>
      <c r="I152" s="341">
        <f t="shared" si="62"/>
        <v>2570352</v>
      </c>
      <c r="J152" s="310" t="s">
        <v>74</v>
      </c>
      <c r="K152" s="404">
        <v>1519</v>
      </c>
      <c r="L152" s="368">
        <f>2570352</f>
        <v>2570352</v>
      </c>
      <c r="M152" s="344">
        <f t="shared" si="59"/>
        <v>0</v>
      </c>
      <c r="N152" s="366"/>
      <c r="O152" s="343">
        <f t="shared" si="60"/>
        <v>0</v>
      </c>
      <c r="P152" s="343"/>
      <c r="Q152" s="346">
        <f t="shared" si="61"/>
        <v>0</v>
      </c>
      <c r="R152" s="364">
        <v>819</v>
      </c>
      <c r="S152" s="395">
        <v>43483</v>
      </c>
      <c r="T152" s="364" t="s">
        <v>559</v>
      </c>
      <c r="U152" s="364" t="s">
        <v>558</v>
      </c>
      <c r="V152" s="366">
        <f>2570352</f>
        <v>2570352</v>
      </c>
      <c r="W152" s="350">
        <f t="shared" si="63"/>
        <v>0</v>
      </c>
      <c r="X152" s="327">
        <v>2570352</v>
      </c>
      <c r="Y152" s="368"/>
      <c r="Z152" s="351">
        <f t="shared" si="64"/>
        <v>0</v>
      </c>
      <c r="AA152" s="368"/>
      <c r="AB152" s="369"/>
      <c r="AC152" s="353">
        <f t="shared" si="65"/>
        <v>0</v>
      </c>
      <c r="AD152" s="354"/>
    </row>
    <row r="153" spans="1:30" s="322" customFormat="1" ht="60.75" customHeight="1" x14ac:dyDescent="0.25">
      <c r="A153" s="315" t="s">
        <v>638</v>
      </c>
      <c r="B153" s="314" t="s">
        <v>506</v>
      </c>
      <c r="C153" s="315" t="s">
        <v>487</v>
      </c>
      <c r="D153" s="414" t="s">
        <v>296</v>
      </c>
      <c r="E153" s="306" t="s">
        <v>505</v>
      </c>
      <c r="F153" s="341">
        <f>'Final OAP'!K153+'Final OAP'!O153+'Final OAP'!R153-'Final OAP'!U153</f>
        <v>12233940</v>
      </c>
      <c r="G153" s="341">
        <f>'Final OAP'!L153+'Final OAP'!P153+'Final OAP'!S153-'Final OAP'!V153</f>
        <v>15337455</v>
      </c>
      <c r="H153" s="341">
        <f>'Final OAP'!M153+'Final OAP'!Q153+'Final OAP'!T153-'Final OAP'!W153</f>
        <v>0</v>
      </c>
      <c r="I153" s="341">
        <f t="shared" si="62"/>
        <v>27571395</v>
      </c>
      <c r="J153" s="310" t="s">
        <v>74</v>
      </c>
      <c r="K153" s="364" t="s">
        <v>880</v>
      </c>
      <c r="L153" s="368">
        <v>12233940</v>
      </c>
      <c r="M153" s="344">
        <f t="shared" si="59"/>
        <v>0</v>
      </c>
      <c r="N153" s="366">
        <f>468127+9148000-78672+5800000</f>
        <v>15337455</v>
      </c>
      <c r="O153" s="515">
        <f t="shared" si="60"/>
        <v>0</v>
      </c>
      <c r="P153" s="343"/>
      <c r="Q153" s="346">
        <f t="shared" si="61"/>
        <v>0</v>
      </c>
      <c r="R153" s="364" t="s">
        <v>1028</v>
      </c>
      <c r="S153" s="395" t="s">
        <v>1029</v>
      </c>
      <c r="T153" s="364" t="s">
        <v>524</v>
      </c>
      <c r="U153" s="364" t="s">
        <v>523</v>
      </c>
      <c r="V153" s="366">
        <v>12233940</v>
      </c>
      <c r="W153" s="350">
        <f t="shared" si="63"/>
        <v>0</v>
      </c>
      <c r="X153" s="327">
        <v>12233940</v>
      </c>
      <c r="Y153" s="368">
        <f>468127+9069328+5800000</f>
        <v>15337455</v>
      </c>
      <c r="Z153" s="351">
        <f t="shared" si="64"/>
        <v>0</v>
      </c>
      <c r="AA153" s="368">
        <f>468127+9069328+5800000</f>
        <v>15337455</v>
      </c>
      <c r="AB153" s="426"/>
      <c r="AC153" s="353">
        <f t="shared" si="65"/>
        <v>0</v>
      </c>
      <c r="AD153" s="354"/>
    </row>
    <row r="154" spans="1:30" s="423" customFormat="1" ht="60.75" customHeight="1" x14ac:dyDescent="0.25">
      <c r="A154" s="315" t="s">
        <v>483</v>
      </c>
      <c r="B154" s="314" t="s">
        <v>483</v>
      </c>
      <c r="C154" s="412" t="s">
        <v>486</v>
      </c>
      <c r="D154" s="414" t="s">
        <v>296</v>
      </c>
      <c r="E154" s="364" t="s">
        <v>438</v>
      </c>
      <c r="F154" s="341">
        <f>'Final OAP'!K154+'Final OAP'!O154+'Final OAP'!R154-'Final OAP'!U154</f>
        <v>1530350</v>
      </c>
      <c r="G154" s="341">
        <f>'Final OAP'!L154+'Final OAP'!P154+'Final OAP'!S154-'Final OAP'!V154</f>
        <v>0</v>
      </c>
      <c r="H154" s="341">
        <f>'Final OAP'!M154+'Final OAP'!Q154+'Final OAP'!T154-'Final OAP'!W154</f>
        <v>0</v>
      </c>
      <c r="I154" s="341">
        <f t="shared" si="62"/>
        <v>1530350</v>
      </c>
      <c r="J154" s="310" t="s">
        <v>74</v>
      </c>
      <c r="K154" s="364"/>
      <c r="L154" s="366"/>
      <c r="M154" s="344">
        <f t="shared" si="59"/>
        <v>1530350</v>
      </c>
      <c r="N154" s="366"/>
      <c r="O154" s="343">
        <f t="shared" si="60"/>
        <v>0</v>
      </c>
      <c r="P154" s="366"/>
      <c r="Q154" s="346">
        <f t="shared" si="61"/>
        <v>0</v>
      </c>
      <c r="R154" s="364"/>
      <c r="S154" s="364"/>
      <c r="T154" s="364"/>
      <c r="U154" s="364"/>
      <c r="V154" s="366"/>
      <c r="W154" s="350">
        <f t="shared" si="63"/>
        <v>1530350</v>
      </c>
      <c r="X154" s="366"/>
      <c r="Y154" s="366"/>
      <c r="Z154" s="351">
        <f t="shared" si="64"/>
        <v>0</v>
      </c>
      <c r="AA154" s="366"/>
      <c r="AB154" s="416"/>
      <c r="AC154" s="353">
        <f t="shared" si="65"/>
        <v>0</v>
      </c>
      <c r="AD154" s="354"/>
    </row>
    <row r="155" spans="1:30" ht="165" customHeight="1" x14ac:dyDescent="0.3">
      <c r="A155" s="315" t="s">
        <v>485</v>
      </c>
      <c r="B155" s="314" t="s">
        <v>729</v>
      </c>
      <c r="C155" s="412" t="s">
        <v>486</v>
      </c>
      <c r="D155" s="414" t="s">
        <v>296</v>
      </c>
      <c r="E155" s="364" t="s">
        <v>440</v>
      </c>
      <c r="F155" s="341">
        <f>'Final OAP'!K155+'Final OAP'!O155+'Final OAP'!R155-'Final OAP'!U155</f>
        <v>4829770</v>
      </c>
      <c r="G155" s="341">
        <f>'Final OAP'!L155+'Final OAP'!P155+'Final OAP'!S155-'Final OAP'!V155</f>
        <v>0</v>
      </c>
      <c r="H155" s="341">
        <f>'Final OAP'!M155+'Final OAP'!Q155+'Final OAP'!T155-'Final OAP'!W155</f>
        <v>0</v>
      </c>
      <c r="I155" s="341">
        <f t="shared" si="62"/>
        <v>4829770</v>
      </c>
      <c r="J155" s="310" t="s">
        <v>74</v>
      </c>
      <c r="K155" s="427" t="s">
        <v>1159</v>
      </c>
      <c r="L155" s="366">
        <f>159740+562070+171890+533890+530680+166930+477020+58920+530670+117960+28310+29090+551930+222719-234+300000</f>
        <v>4441585</v>
      </c>
      <c r="M155" s="344">
        <f t="shared" si="59"/>
        <v>388185</v>
      </c>
      <c r="N155" s="366"/>
      <c r="O155" s="343">
        <f t="shared" si="60"/>
        <v>0</v>
      </c>
      <c r="P155" s="343"/>
      <c r="Q155" s="346">
        <f t="shared" si="61"/>
        <v>0</v>
      </c>
      <c r="R155" s="364" t="s">
        <v>1174</v>
      </c>
      <c r="S155" s="395" t="s">
        <v>1175</v>
      </c>
      <c r="T155" s="364" t="s">
        <v>1126</v>
      </c>
      <c r="U155" s="364" t="s">
        <v>661</v>
      </c>
      <c r="V155" s="366">
        <f>159740+562070+171890-234+533890+530680+166930+477020+58920+530670+117960+28310+29090+551930+222719+300000</f>
        <v>4441585</v>
      </c>
      <c r="W155" s="350">
        <f t="shared" si="63"/>
        <v>388185</v>
      </c>
      <c r="X155" s="366">
        <f>159740+562070+171890-234+533890+530680+166930+477020+58920+530670+117960+28310+29090+551930+222719+300000</f>
        <v>4441585</v>
      </c>
      <c r="Y155" s="366"/>
      <c r="Z155" s="351">
        <f t="shared" si="64"/>
        <v>0</v>
      </c>
      <c r="AA155" s="366"/>
      <c r="AB155" s="416"/>
      <c r="AC155" s="353">
        <f t="shared" si="65"/>
        <v>0</v>
      </c>
      <c r="AD155" s="354"/>
    </row>
    <row r="156" spans="1:30" ht="162" customHeight="1" x14ac:dyDescent="0.3">
      <c r="A156" s="428" t="s">
        <v>393</v>
      </c>
      <c r="B156" s="413" t="s">
        <v>393</v>
      </c>
      <c r="C156" s="412" t="s">
        <v>486</v>
      </c>
      <c r="D156" s="414" t="s">
        <v>296</v>
      </c>
      <c r="E156" s="377" t="s">
        <v>456</v>
      </c>
      <c r="F156" s="341">
        <f>'Final OAP'!K156+'Final OAP'!O156+'Final OAP'!R156-'Final OAP'!U156</f>
        <v>1815700</v>
      </c>
      <c r="G156" s="341">
        <f>'Final OAP'!L156+'Final OAP'!P156+'Final OAP'!S156-'Final OAP'!V156</f>
        <v>0</v>
      </c>
      <c r="H156" s="341">
        <f>'Final OAP'!M156+'Final OAP'!Q156+'Final OAP'!T156-'Final OAP'!W156</f>
        <v>0</v>
      </c>
      <c r="I156" s="341">
        <f t="shared" si="62"/>
        <v>1815700</v>
      </c>
      <c r="J156" s="310" t="s">
        <v>74</v>
      </c>
      <c r="K156" s="364" t="s">
        <v>1146</v>
      </c>
      <c r="L156" s="366">
        <f>250000+165900+163800+110400+201200+115000+108700+121900+128800+13800+125600</f>
        <v>1505100</v>
      </c>
      <c r="M156" s="344">
        <f t="shared" si="59"/>
        <v>310600</v>
      </c>
      <c r="N156" s="366"/>
      <c r="O156" s="343">
        <f t="shared" si="60"/>
        <v>0</v>
      </c>
      <c r="P156" s="343"/>
      <c r="Q156" s="346">
        <f t="shared" si="61"/>
        <v>0</v>
      </c>
      <c r="R156" s="364" t="s">
        <v>1148</v>
      </c>
      <c r="S156" s="395" t="s">
        <v>1168</v>
      </c>
      <c r="T156" s="364" t="s">
        <v>1150</v>
      </c>
      <c r="U156" s="364" t="s">
        <v>659</v>
      </c>
      <c r="V156" s="366">
        <f>250000+165900+163800+110400+201200+115000+108700+121900+128800+13800+125600</f>
        <v>1505100</v>
      </c>
      <c r="W156" s="350">
        <f t="shared" si="63"/>
        <v>310600</v>
      </c>
      <c r="X156" s="366">
        <f>250000+165900+163800+110400+201200+115000+108700+121900+128800+13800+125600</f>
        <v>1505100</v>
      </c>
      <c r="Y156" s="366"/>
      <c r="Z156" s="351">
        <f t="shared" si="64"/>
        <v>0</v>
      </c>
      <c r="AA156" s="366"/>
      <c r="AB156" s="392"/>
      <c r="AC156" s="353">
        <f t="shared" si="65"/>
        <v>0</v>
      </c>
      <c r="AD156" s="354"/>
    </row>
    <row r="157" spans="1:30" s="322" customFormat="1" ht="198.75" customHeight="1" x14ac:dyDescent="0.25">
      <c r="A157" s="315" t="s">
        <v>484</v>
      </c>
      <c r="B157" s="314" t="s">
        <v>730</v>
      </c>
      <c r="C157" s="412" t="s">
        <v>486</v>
      </c>
      <c r="D157" s="414" t="s">
        <v>296</v>
      </c>
      <c r="E157" s="364" t="s">
        <v>439</v>
      </c>
      <c r="F157" s="341">
        <f>'Final OAP'!K157+'Final OAP'!O157+'Final OAP'!R157-'Final OAP'!U157</f>
        <v>34059629</v>
      </c>
      <c r="G157" s="341">
        <f>'Final OAP'!L157+'Final OAP'!P157+'Final OAP'!S157-'Final OAP'!V157</f>
        <v>6300421</v>
      </c>
      <c r="H157" s="341">
        <f>'Final OAP'!M157+'Final OAP'!Q157+'Final OAP'!T157-'Final OAP'!W157</f>
        <v>0</v>
      </c>
      <c r="I157" s="341">
        <f t="shared" si="62"/>
        <v>40360050</v>
      </c>
      <c r="J157" s="310" t="s">
        <v>74</v>
      </c>
      <c r="K157" s="427" t="s">
        <v>1158</v>
      </c>
      <c r="L157" s="366">
        <f>2279870+3026850+3332040+3393580+3150650+3224090+3342330+3035610+3575264+3327581+2371764</f>
        <v>34059629</v>
      </c>
      <c r="M157" s="344">
        <f t="shared" si="59"/>
        <v>0</v>
      </c>
      <c r="N157" s="343">
        <f>3590264+1828236</f>
        <v>5418500</v>
      </c>
      <c r="O157" s="343">
        <f t="shared" si="60"/>
        <v>881921</v>
      </c>
      <c r="P157" s="343"/>
      <c r="Q157" s="346">
        <f t="shared" si="61"/>
        <v>0</v>
      </c>
      <c r="R157" s="364" t="s">
        <v>1173</v>
      </c>
      <c r="S157" s="395" t="s">
        <v>1172</v>
      </c>
      <c r="T157" s="364" t="s">
        <v>958</v>
      </c>
      <c r="U157" s="364" t="s">
        <v>578</v>
      </c>
      <c r="V157" s="366">
        <f>2279870+3026850+3332040+3393580+3150650+3224090+3342330+3035610+3575264+3327581+2371764</f>
        <v>34059629</v>
      </c>
      <c r="W157" s="350">
        <f t="shared" si="63"/>
        <v>0</v>
      </c>
      <c r="X157" s="366">
        <f>2279870+3026850+3332040+3393580+3150650+3224090+3342330+3035610+3575264+3327581+2371764</f>
        <v>34059629</v>
      </c>
      <c r="Y157" s="343">
        <f>3590264+1828236</f>
        <v>5418500</v>
      </c>
      <c r="Z157" s="351">
        <f t="shared" si="64"/>
        <v>881921</v>
      </c>
      <c r="AA157" s="343">
        <f>3590264+1828236</f>
        <v>5418500</v>
      </c>
      <c r="AB157" s="416"/>
      <c r="AC157" s="353">
        <f t="shared" si="65"/>
        <v>0</v>
      </c>
      <c r="AD157" s="354"/>
    </row>
    <row r="158" spans="1:30" s="322" customFormat="1" ht="111.75" customHeight="1" x14ac:dyDescent="0.25">
      <c r="A158" s="315" t="s">
        <v>482</v>
      </c>
      <c r="B158" s="314" t="s">
        <v>482</v>
      </c>
      <c r="C158" s="315" t="s">
        <v>481</v>
      </c>
      <c r="D158" s="414" t="s">
        <v>296</v>
      </c>
      <c r="E158" s="306" t="s">
        <v>791</v>
      </c>
      <c r="F158" s="341">
        <f>'Final OAP'!K158+'Final OAP'!O158+'Final OAP'!R158-'Final OAP'!U158</f>
        <v>8836261</v>
      </c>
      <c r="G158" s="341">
        <f>'Final OAP'!L158+'Final OAP'!P158+'Final OAP'!S158-'Final OAP'!V158</f>
        <v>48422371.325000003</v>
      </c>
      <c r="H158" s="341">
        <f>'Final OAP'!M158+'Final OAP'!Q158+'Final OAP'!T158-'Final OAP'!W158</f>
        <v>0</v>
      </c>
      <c r="I158" s="341">
        <f t="shared" si="62"/>
        <v>57258632.325000003</v>
      </c>
      <c r="J158" s="310" t="s">
        <v>74</v>
      </c>
      <c r="K158" s="364" t="s">
        <v>1118</v>
      </c>
      <c r="L158" s="366">
        <f>5000000+3836261</f>
        <v>8836261</v>
      </c>
      <c r="M158" s="344">
        <f t="shared" si="59"/>
        <v>0</v>
      </c>
      <c r="N158" s="366">
        <f>14671351-792336+17640845+15238469+1664042-212800</f>
        <v>48209571</v>
      </c>
      <c r="O158" s="344">
        <f t="shared" si="60"/>
        <v>212800.32500000298</v>
      </c>
      <c r="P158" s="343"/>
      <c r="Q158" s="346">
        <f t="shared" si="61"/>
        <v>0</v>
      </c>
      <c r="R158" s="364" t="s">
        <v>1119</v>
      </c>
      <c r="S158" s="395" t="s">
        <v>1120</v>
      </c>
      <c r="T158" s="364" t="s">
        <v>884</v>
      </c>
      <c r="U158" s="364" t="s">
        <v>885</v>
      </c>
      <c r="V158" s="366">
        <f>5000000+3836261</f>
        <v>8836261</v>
      </c>
      <c r="W158" s="350">
        <f t="shared" si="63"/>
        <v>0</v>
      </c>
      <c r="X158" s="366">
        <v>5000000</v>
      </c>
      <c r="Y158" s="366">
        <f>13879015+17640845+15238469+1664042-212800</f>
        <v>48209571</v>
      </c>
      <c r="Z158" s="351">
        <f t="shared" si="64"/>
        <v>212800.32500000298</v>
      </c>
      <c r="AA158" s="366">
        <v>13666215</v>
      </c>
      <c r="AB158" s="416"/>
      <c r="AC158" s="353">
        <f t="shared" si="65"/>
        <v>0</v>
      </c>
      <c r="AD158" s="354"/>
    </row>
    <row r="159" spans="1:30" s="322" customFormat="1" ht="60.75" customHeight="1" x14ac:dyDescent="0.25">
      <c r="A159" s="315" t="s">
        <v>497</v>
      </c>
      <c r="B159" s="314" t="s">
        <v>497</v>
      </c>
      <c r="C159" s="429" t="s">
        <v>480</v>
      </c>
      <c r="D159" s="414" t="s">
        <v>296</v>
      </c>
      <c r="E159" s="377" t="s">
        <v>857</v>
      </c>
      <c r="F159" s="341">
        <f>'Final OAP'!K159+'Final OAP'!O159+'Final OAP'!R159-'Final OAP'!U159</f>
        <v>0</v>
      </c>
      <c r="G159" s="341">
        <f>'Final OAP'!L159+'Final OAP'!P159+'Final OAP'!S159-'Final OAP'!V159</f>
        <v>2686044</v>
      </c>
      <c r="H159" s="341">
        <f>'Final OAP'!M159+'Final OAP'!Q159+'Final OAP'!T159-'Final OAP'!W159</f>
        <v>0</v>
      </c>
      <c r="I159" s="341">
        <f t="shared" si="62"/>
        <v>2686044</v>
      </c>
      <c r="J159" s="310" t="s">
        <v>74</v>
      </c>
      <c r="K159" s="386">
        <v>29719</v>
      </c>
      <c r="L159" s="368"/>
      <c r="M159" s="344">
        <f t="shared" si="59"/>
        <v>0</v>
      </c>
      <c r="N159" s="368">
        <f>2686044-1293744</f>
        <v>1392300</v>
      </c>
      <c r="O159" s="515">
        <f t="shared" si="60"/>
        <v>1293744</v>
      </c>
      <c r="P159" s="368"/>
      <c r="Q159" s="346">
        <f t="shared" si="61"/>
        <v>0</v>
      </c>
      <c r="R159" s="364">
        <v>53719</v>
      </c>
      <c r="S159" s="356" t="s">
        <v>1101</v>
      </c>
      <c r="T159" s="356" t="s">
        <v>1103</v>
      </c>
      <c r="U159" s="356" t="s">
        <v>1102</v>
      </c>
      <c r="V159" s="368"/>
      <c r="W159" s="350">
        <f t="shared" si="63"/>
        <v>0</v>
      </c>
      <c r="X159" s="368"/>
      <c r="Y159" s="368">
        <v>1392300</v>
      </c>
      <c r="Z159" s="351">
        <f t="shared" si="64"/>
        <v>1293744</v>
      </c>
      <c r="AA159" s="368"/>
      <c r="AB159" s="369"/>
      <c r="AC159" s="353">
        <f t="shared" si="65"/>
        <v>0</v>
      </c>
      <c r="AD159" s="354"/>
    </row>
    <row r="160" spans="1:30" s="322" customFormat="1" ht="101.25" customHeight="1" x14ac:dyDescent="0.25">
      <c r="A160" s="315" t="s">
        <v>497</v>
      </c>
      <c r="B160" s="314" t="s">
        <v>1112</v>
      </c>
      <c r="C160" s="429" t="s">
        <v>480</v>
      </c>
      <c r="D160" s="414" t="s">
        <v>296</v>
      </c>
      <c r="E160" s="377" t="s">
        <v>1011</v>
      </c>
      <c r="F160" s="341">
        <f>'Final OAP'!K160+'Final OAP'!O160+'Final OAP'!R160-'Final OAP'!U160</f>
        <v>40000000</v>
      </c>
      <c r="G160" s="341">
        <f>'Final OAP'!L160+'Final OAP'!P160+'Final OAP'!S160-'Final OAP'!V160</f>
        <v>0</v>
      </c>
      <c r="H160" s="341">
        <f>'Final OAP'!M160+'Final OAP'!Q160+'Final OAP'!T160-'Final OAP'!W160</f>
        <v>0</v>
      </c>
      <c r="I160" s="341">
        <f t="shared" si="62"/>
        <v>40000000</v>
      </c>
      <c r="J160" s="310" t="s">
        <v>74</v>
      </c>
      <c r="K160" s="360">
        <v>35319</v>
      </c>
      <c r="L160" s="368">
        <v>38386289</v>
      </c>
      <c r="M160" s="344">
        <f t="shared" si="59"/>
        <v>1613711</v>
      </c>
      <c r="N160" s="368"/>
      <c r="O160" s="343">
        <f t="shared" si="60"/>
        <v>0</v>
      </c>
      <c r="P160" s="368"/>
      <c r="Q160" s="346">
        <f t="shared" si="61"/>
        <v>0</v>
      </c>
      <c r="R160" s="558">
        <v>55719</v>
      </c>
      <c r="S160" s="361">
        <v>43804</v>
      </c>
      <c r="T160" s="306" t="s">
        <v>1161</v>
      </c>
      <c r="U160" s="360" t="s">
        <v>1160</v>
      </c>
      <c r="V160" s="368">
        <v>38386289</v>
      </c>
      <c r="W160" s="350">
        <f t="shared" si="63"/>
        <v>1613711</v>
      </c>
      <c r="X160" s="368"/>
      <c r="Y160" s="368"/>
      <c r="Z160" s="351">
        <f t="shared" si="64"/>
        <v>0</v>
      </c>
      <c r="AA160" s="368"/>
      <c r="AB160" s="369"/>
      <c r="AC160" s="353">
        <f t="shared" si="65"/>
        <v>0</v>
      </c>
      <c r="AD160" s="354"/>
    </row>
    <row r="161" spans="1:30" s="322" customFormat="1" ht="60.75" customHeight="1" x14ac:dyDescent="0.25">
      <c r="A161" s="315" t="s">
        <v>336</v>
      </c>
      <c r="B161" s="314" t="s">
        <v>336</v>
      </c>
      <c r="C161" s="324" t="s">
        <v>496</v>
      </c>
      <c r="D161" s="356" t="s">
        <v>296</v>
      </c>
      <c r="E161" s="377" t="s">
        <v>459</v>
      </c>
      <c r="F161" s="341">
        <f>'Final OAP'!K161+'Final OAP'!O161+'Final OAP'!R161-'Final OAP'!U161</f>
        <v>0</v>
      </c>
      <c r="G161" s="341">
        <f>'Final OAP'!L161+'Final OAP'!P161+'Final OAP'!S161-'Final OAP'!V161</f>
        <v>223037</v>
      </c>
      <c r="H161" s="341">
        <f>'Final OAP'!M161+'Final OAP'!Q161+'Final OAP'!T161-'Final OAP'!W161</f>
        <v>0</v>
      </c>
      <c r="I161" s="341">
        <f t="shared" si="62"/>
        <v>223037</v>
      </c>
      <c r="J161" s="310" t="s">
        <v>74</v>
      </c>
      <c r="K161" s="364">
        <v>9419</v>
      </c>
      <c r="L161" s="366"/>
      <c r="M161" s="344">
        <f t="shared" si="59"/>
        <v>0</v>
      </c>
      <c r="N161" s="366">
        <v>223037</v>
      </c>
      <c r="O161" s="515">
        <f t="shared" si="60"/>
        <v>0</v>
      </c>
      <c r="P161" s="366"/>
      <c r="Q161" s="346">
        <f t="shared" si="61"/>
        <v>0</v>
      </c>
      <c r="R161" s="364">
        <v>18219</v>
      </c>
      <c r="S161" s="395">
        <v>43585</v>
      </c>
      <c r="T161" s="364" t="s">
        <v>761</v>
      </c>
      <c r="U161" s="364" t="s">
        <v>525</v>
      </c>
      <c r="V161" s="366"/>
      <c r="W161" s="350">
        <f t="shared" si="63"/>
        <v>0</v>
      </c>
      <c r="X161" s="366"/>
      <c r="Y161" s="366">
        <v>223037</v>
      </c>
      <c r="Z161" s="351">
        <f t="shared" si="64"/>
        <v>0</v>
      </c>
      <c r="AA161" s="366"/>
      <c r="AB161" s="416"/>
      <c r="AC161" s="353">
        <f t="shared" si="65"/>
        <v>0</v>
      </c>
      <c r="AD161" s="354"/>
    </row>
    <row r="162" spans="1:30" s="322" customFormat="1" ht="182.25" customHeight="1" x14ac:dyDescent="0.3">
      <c r="A162" s="324" t="s">
        <v>390</v>
      </c>
      <c r="B162" s="314" t="s">
        <v>390</v>
      </c>
      <c r="C162" s="324" t="s">
        <v>496</v>
      </c>
      <c r="D162" s="356" t="s">
        <v>296</v>
      </c>
      <c r="E162" s="377" t="s">
        <v>452</v>
      </c>
      <c r="F162" s="341">
        <f>'Final OAP'!K162+'Final OAP'!O162+'Final OAP'!R162-'Final OAP'!U162</f>
        <v>909924</v>
      </c>
      <c r="G162" s="341">
        <f>'Final OAP'!L162+'Final OAP'!P162+'Final OAP'!S162-'Final OAP'!V162</f>
        <v>0</v>
      </c>
      <c r="H162" s="341">
        <f>'Final OAP'!M162+'Final OAP'!Q162+'Final OAP'!T162-'Final OAP'!W162</f>
        <v>0</v>
      </c>
      <c r="I162" s="341">
        <f t="shared" si="62"/>
        <v>909924</v>
      </c>
      <c r="J162" s="310" t="s">
        <v>74</v>
      </c>
      <c r="K162" s="364" t="s">
        <v>1145</v>
      </c>
      <c r="L162" s="366">
        <f>163000+45800+5000+88640+70864+161620+3000+32000+17000</f>
        <v>586924</v>
      </c>
      <c r="M162" s="344">
        <f t="shared" si="59"/>
        <v>323000</v>
      </c>
      <c r="N162" s="366"/>
      <c r="O162" s="343">
        <f t="shared" si="60"/>
        <v>0</v>
      </c>
      <c r="P162" s="343"/>
      <c r="Q162" s="346">
        <f t="shared" si="61"/>
        <v>0</v>
      </c>
      <c r="R162" s="364" t="s">
        <v>1148</v>
      </c>
      <c r="S162" s="395" t="s">
        <v>1167</v>
      </c>
      <c r="T162" s="364" t="s">
        <v>1150</v>
      </c>
      <c r="U162" s="364" t="s">
        <v>659</v>
      </c>
      <c r="V162" s="366">
        <f>163000+45800+5000+88640+70864+161620+3000+32000+17000</f>
        <v>586924</v>
      </c>
      <c r="W162" s="350">
        <f t="shared" si="63"/>
        <v>323000</v>
      </c>
      <c r="X162" s="366">
        <f>163000+45800+5000+88640+70864+161620+3000+32000+17000</f>
        <v>586924</v>
      </c>
      <c r="Y162" s="366"/>
      <c r="Z162" s="351">
        <f t="shared" si="64"/>
        <v>0</v>
      </c>
      <c r="AA162" s="366"/>
      <c r="AB162" s="392"/>
      <c r="AC162" s="353">
        <f t="shared" si="65"/>
        <v>0</v>
      </c>
      <c r="AD162" s="354"/>
    </row>
    <row r="163" spans="1:30" s="322" customFormat="1" ht="60.75" customHeight="1" x14ac:dyDescent="0.25">
      <c r="A163" s="430" t="s">
        <v>463</v>
      </c>
      <c r="B163" s="409" t="s">
        <v>463</v>
      </c>
      <c r="C163" s="324" t="s">
        <v>496</v>
      </c>
      <c r="D163" s="356" t="s">
        <v>296</v>
      </c>
      <c r="E163" s="431" t="s">
        <v>464</v>
      </c>
      <c r="F163" s="341">
        <f>'Final OAP'!K163+'Final OAP'!O163+'Final OAP'!R163-'Final OAP'!U163</f>
        <v>1485463</v>
      </c>
      <c r="G163" s="341">
        <f>'Final OAP'!L163+'Final OAP'!P163+'Final OAP'!S163-'Final OAP'!V163</f>
        <v>0</v>
      </c>
      <c r="H163" s="341">
        <f>'Final OAP'!M163+'Final OAP'!Q163+'Final OAP'!T163-'Final OAP'!W163</f>
        <v>0</v>
      </c>
      <c r="I163" s="341">
        <f t="shared" si="62"/>
        <v>1485463</v>
      </c>
      <c r="J163" s="310" t="s">
        <v>74</v>
      </c>
      <c r="K163" s="364" t="s">
        <v>757</v>
      </c>
      <c r="L163" s="366">
        <f>519057+966406</f>
        <v>1485463</v>
      </c>
      <c r="M163" s="516">
        <f t="shared" si="59"/>
        <v>0</v>
      </c>
      <c r="N163" s="366"/>
      <c r="O163" s="343">
        <f t="shared" si="60"/>
        <v>0</v>
      </c>
      <c r="P163" s="343"/>
      <c r="Q163" s="346">
        <f t="shared" si="61"/>
        <v>0</v>
      </c>
      <c r="R163" s="364" t="s">
        <v>758</v>
      </c>
      <c r="S163" s="395" t="s">
        <v>760</v>
      </c>
      <c r="T163" s="364" t="s">
        <v>762</v>
      </c>
      <c r="U163" s="364" t="s">
        <v>525</v>
      </c>
      <c r="V163" s="366">
        <f>519057+966406</f>
        <v>1485463</v>
      </c>
      <c r="W163" s="350">
        <f t="shared" si="63"/>
        <v>0</v>
      </c>
      <c r="X163" s="366">
        <f>177447+146531+195079+247500+313413+400850</f>
        <v>1480820</v>
      </c>
      <c r="Y163" s="368"/>
      <c r="Z163" s="351">
        <f t="shared" si="64"/>
        <v>0</v>
      </c>
      <c r="AA163" s="366"/>
      <c r="AB163" s="350"/>
      <c r="AC163" s="353">
        <f t="shared" si="65"/>
        <v>0</v>
      </c>
      <c r="AD163" s="354"/>
    </row>
    <row r="164" spans="1:30" s="322" customFormat="1" ht="60.75" customHeight="1" x14ac:dyDescent="0.3">
      <c r="A164" s="315" t="s">
        <v>498</v>
      </c>
      <c r="B164" s="314" t="s">
        <v>498</v>
      </c>
      <c r="C164" s="324" t="s">
        <v>496</v>
      </c>
      <c r="D164" s="414" t="s">
        <v>296</v>
      </c>
      <c r="E164" s="431" t="s">
        <v>435</v>
      </c>
      <c r="F164" s="341">
        <f>'Final OAP'!K164+'Final OAP'!O164+'Final OAP'!R164-'Final OAP'!U164</f>
        <v>976000</v>
      </c>
      <c r="G164" s="341">
        <f>'Final OAP'!L164+'Final OAP'!P164+'Final OAP'!S164-'Final OAP'!V164</f>
        <v>3399749</v>
      </c>
      <c r="H164" s="341">
        <f>'Final OAP'!M164+'Final OAP'!Q164+'Final OAP'!T164-'Final OAP'!W164</f>
        <v>0</v>
      </c>
      <c r="I164" s="341">
        <f t="shared" si="62"/>
        <v>4375749</v>
      </c>
      <c r="J164" s="310" t="s">
        <v>74</v>
      </c>
      <c r="K164" s="364">
        <v>16019</v>
      </c>
      <c r="L164" s="366">
        <v>976000</v>
      </c>
      <c r="M164" s="344">
        <f t="shared" si="59"/>
        <v>0</v>
      </c>
      <c r="N164" s="366">
        <v>3399749</v>
      </c>
      <c r="O164" s="343">
        <f t="shared" si="60"/>
        <v>0</v>
      </c>
      <c r="P164" s="366"/>
      <c r="Q164" s="346">
        <f t="shared" si="61"/>
        <v>0</v>
      </c>
      <c r="R164" s="364">
        <v>28919</v>
      </c>
      <c r="S164" s="432">
        <v>43648</v>
      </c>
      <c r="T164" s="364" t="s">
        <v>823</v>
      </c>
      <c r="U164" s="364" t="s">
        <v>820</v>
      </c>
      <c r="V164" s="366">
        <v>976000</v>
      </c>
      <c r="W164" s="350">
        <f t="shared" si="63"/>
        <v>0</v>
      </c>
      <c r="X164" s="366">
        <v>976000</v>
      </c>
      <c r="Y164" s="366">
        <v>3399749</v>
      </c>
      <c r="Z164" s="351">
        <f t="shared" si="64"/>
        <v>0</v>
      </c>
      <c r="AA164" s="366">
        <v>3399749</v>
      </c>
      <c r="AB164" s="392"/>
      <c r="AC164" s="353">
        <f t="shared" si="65"/>
        <v>0</v>
      </c>
      <c r="AD164" s="354"/>
    </row>
    <row r="165" spans="1:30" s="322" customFormat="1" ht="60.75" customHeight="1" x14ac:dyDescent="0.3">
      <c r="A165" s="319" t="s">
        <v>499</v>
      </c>
      <c r="B165" s="433" t="s">
        <v>499</v>
      </c>
      <c r="C165" s="324" t="s">
        <v>496</v>
      </c>
      <c r="D165" s="414" t="s">
        <v>296</v>
      </c>
      <c r="E165" s="431" t="s">
        <v>436</v>
      </c>
      <c r="F165" s="341">
        <f>'Final OAP'!K165+'Final OAP'!O165+'Final OAP'!R165-'Final OAP'!U165</f>
        <v>1172817</v>
      </c>
      <c r="G165" s="341">
        <f>'Final OAP'!L165+'Final OAP'!P165+'Final OAP'!S165-'Final OAP'!V165</f>
        <v>3919128</v>
      </c>
      <c r="H165" s="341">
        <f>'Final OAP'!M165+'Final OAP'!Q165+'Final OAP'!T165-'Final OAP'!W165</f>
        <v>0</v>
      </c>
      <c r="I165" s="341">
        <f t="shared" si="62"/>
        <v>5091945</v>
      </c>
      <c r="J165" s="310" t="s">
        <v>74</v>
      </c>
      <c r="K165" s="364">
        <v>6219</v>
      </c>
      <c r="L165" s="366">
        <v>1172817</v>
      </c>
      <c r="M165" s="344">
        <f t="shared" si="59"/>
        <v>0</v>
      </c>
      <c r="N165" s="366">
        <v>3848703</v>
      </c>
      <c r="O165" s="515">
        <f t="shared" si="60"/>
        <v>70425</v>
      </c>
      <c r="P165" s="366"/>
      <c r="Q165" s="346">
        <f t="shared" si="61"/>
        <v>0</v>
      </c>
      <c r="R165" s="364">
        <v>10819</v>
      </c>
      <c r="S165" s="395">
        <v>43542</v>
      </c>
      <c r="T165" s="364" t="s">
        <v>715</v>
      </c>
      <c r="U165" s="364" t="s">
        <v>716</v>
      </c>
      <c r="V165" s="366">
        <v>1172817</v>
      </c>
      <c r="W165" s="350">
        <f t="shared" si="63"/>
        <v>0</v>
      </c>
      <c r="X165" s="366">
        <f>396584+252715+176233+250573+96712</f>
        <v>1172817</v>
      </c>
      <c r="Y165" s="366">
        <v>3848703</v>
      </c>
      <c r="Z165" s="351">
        <f>G165-Y165</f>
        <v>70425</v>
      </c>
      <c r="AA165" s="366">
        <f>71129+242757+445511+221026</f>
        <v>980423</v>
      </c>
      <c r="AB165" s="392"/>
      <c r="AC165" s="353">
        <f t="shared" si="65"/>
        <v>0</v>
      </c>
      <c r="AD165" s="354"/>
    </row>
    <row r="166" spans="1:30" s="322" customFormat="1" ht="60.75" customHeight="1" x14ac:dyDescent="0.25">
      <c r="A166" s="315" t="s">
        <v>333</v>
      </c>
      <c r="B166" s="314" t="s">
        <v>333</v>
      </c>
      <c r="C166" s="324" t="s">
        <v>496</v>
      </c>
      <c r="D166" s="414" t="s">
        <v>296</v>
      </c>
      <c r="E166" s="415" t="s">
        <v>450</v>
      </c>
      <c r="F166" s="341">
        <f>'Final OAP'!K166+'Final OAP'!O166+'Final OAP'!R166-'Final OAP'!U166</f>
        <v>0</v>
      </c>
      <c r="G166" s="341">
        <f>'Final OAP'!L166+'Final OAP'!P166+'Final OAP'!S166-'Final OAP'!V166</f>
        <v>484961</v>
      </c>
      <c r="H166" s="341">
        <f>'Final OAP'!M166+'Final OAP'!Q166+'Final OAP'!T166-'Final OAP'!W166</f>
        <v>0</v>
      </c>
      <c r="I166" s="341">
        <f t="shared" si="62"/>
        <v>484961</v>
      </c>
      <c r="J166" s="310" t="s">
        <v>74</v>
      </c>
      <c r="K166" s="364">
        <v>9419</v>
      </c>
      <c r="L166" s="366"/>
      <c r="M166" s="344">
        <f t="shared" si="59"/>
        <v>0</v>
      </c>
      <c r="N166" s="366">
        <v>484961</v>
      </c>
      <c r="O166" s="515">
        <f t="shared" si="60"/>
        <v>0</v>
      </c>
      <c r="P166" s="366"/>
      <c r="Q166" s="346">
        <f t="shared" si="61"/>
        <v>0</v>
      </c>
      <c r="R166" s="364">
        <v>18219</v>
      </c>
      <c r="S166" s="395">
        <v>43585</v>
      </c>
      <c r="T166" s="364" t="s">
        <v>761</v>
      </c>
      <c r="U166" s="364" t="s">
        <v>525</v>
      </c>
      <c r="V166" s="366"/>
      <c r="W166" s="350">
        <f t="shared" si="63"/>
        <v>0</v>
      </c>
      <c r="X166" s="366"/>
      <c r="Y166" s="366">
        <v>484961</v>
      </c>
      <c r="Z166" s="351">
        <f t="shared" si="64"/>
        <v>0</v>
      </c>
      <c r="AA166" s="366"/>
      <c r="AB166" s="416"/>
      <c r="AC166" s="353">
        <f t="shared" si="65"/>
        <v>0</v>
      </c>
      <c r="AD166" s="354"/>
    </row>
    <row r="167" spans="1:30" s="322" customFormat="1" ht="60.75" customHeight="1" x14ac:dyDescent="0.25">
      <c r="A167" s="315" t="s">
        <v>334</v>
      </c>
      <c r="B167" s="314" t="s">
        <v>334</v>
      </c>
      <c r="C167" s="324" t="s">
        <v>496</v>
      </c>
      <c r="D167" s="414" t="s">
        <v>296</v>
      </c>
      <c r="E167" s="415" t="s">
        <v>451</v>
      </c>
      <c r="F167" s="341">
        <f>'Final OAP'!K167+'Final OAP'!O167+'Final OAP'!R167-'Final OAP'!U167</f>
        <v>0</v>
      </c>
      <c r="G167" s="341">
        <f>'Final OAP'!L167+'Final OAP'!P167+'Final OAP'!S167-'Final OAP'!V167</f>
        <v>0</v>
      </c>
      <c r="H167" s="341">
        <f>'Final OAP'!M167+'Final OAP'!Q167+'Final OAP'!T167-'Final OAP'!W167</f>
        <v>0</v>
      </c>
      <c r="I167" s="341">
        <f t="shared" si="62"/>
        <v>0</v>
      </c>
      <c r="J167" s="310" t="s">
        <v>74</v>
      </c>
      <c r="K167" s="364"/>
      <c r="L167" s="366"/>
      <c r="M167" s="344">
        <f t="shared" si="59"/>
        <v>0</v>
      </c>
      <c r="N167" s="366"/>
      <c r="O167" s="515">
        <f t="shared" si="60"/>
        <v>0</v>
      </c>
      <c r="P167" s="366"/>
      <c r="Q167" s="346">
        <f t="shared" si="61"/>
        <v>0</v>
      </c>
      <c r="R167" s="364"/>
      <c r="S167" s="364"/>
      <c r="T167" s="364"/>
      <c r="U167" s="364"/>
      <c r="V167" s="366"/>
      <c r="W167" s="350">
        <f t="shared" si="63"/>
        <v>0</v>
      </c>
      <c r="X167" s="366"/>
      <c r="Y167" s="366"/>
      <c r="Z167" s="351">
        <f t="shared" si="64"/>
        <v>0</v>
      </c>
      <c r="AA167" s="366"/>
      <c r="AB167" s="416"/>
      <c r="AC167" s="353">
        <f t="shared" si="65"/>
        <v>0</v>
      </c>
      <c r="AD167" s="354"/>
    </row>
    <row r="168" spans="1:30" s="322" customFormat="1" ht="60.75" customHeight="1" x14ac:dyDescent="0.25">
      <c r="A168" s="315" t="s">
        <v>335</v>
      </c>
      <c r="B168" s="314" t="s">
        <v>335</v>
      </c>
      <c r="C168" s="324" t="s">
        <v>496</v>
      </c>
      <c r="D168" s="414" t="s">
        <v>296</v>
      </c>
      <c r="E168" s="377" t="s">
        <v>458</v>
      </c>
      <c r="F168" s="341">
        <f>'Final OAP'!K168+'Final OAP'!O168+'Final OAP'!R168-'Final OAP'!U168</f>
        <v>0</v>
      </c>
      <c r="G168" s="341">
        <f>'Final OAP'!L168+'Final OAP'!P168+'Final OAP'!S168-'Final OAP'!V168</f>
        <v>272868</v>
      </c>
      <c r="H168" s="341">
        <f>'Final OAP'!M168+'Final OAP'!Q168+'Final OAP'!T168-'Final OAP'!W168</f>
        <v>0</v>
      </c>
      <c r="I168" s="341">
        <f t="shared" si="62"/>
        <v>272868</v>
      </c>
      <c r="J168" s="310" t="s">
        <v>74</v>
      </c>
      <c r="K168" s="364">
        <v>9419</v>
      </c>
      <c r="L168" s="366"/>
      <c r="M168" s="344">
        <f t="shared" si="59"/>
        <v>0</v>
      </c>
      <c r="N168" s="366">
        <v>272868</v>
      </c>
      <c r="O168" s="515">
        <f t="shared" si="60"/>
        <v>0</v>
      </c>
      <c r="P168" s="366"/>
      <c r="Q168" s="346">
        <f t="shared" si="61"/>
        <v>0</v>
      </c>
      <c r="R168" s="364">
        <v>18219</v>
      </c>
      <c r="S168" s="395">
        <v>43585</v>
      </c>
      <c r="T168" s="364" t="s">
        <v>761</v>
      </c>
      <c r="U168" s="364" t="s">
        <v>525</v>
      </c>
      <c r="V168" s="366"/>
      <c r="W168" s="350">
        <f t="shared" si="63"/>
        <v>0</v>
      </c>
      <c r="X168" s="366"/>
      <c r="Y168" s="366">
        <v>272868</v>
      </c>
      <c r="Z168" s="351">
        <f t="shared" si="64"/>
        <v>0</v>
      </c>
      <c r="AA168" s="366"/>
      <c r="AB168" s="416"/>
      <c r="AC168" s="353">
        <f t="shared" si="65"/>
        <v>0</v>
      </c>
      <c r="AD168" s="354"/>
    </row>
    <row r="169" spans="1:30" s="322" customFormat="1" ht="81" customHeight="1" x14ac:dyDescent="0.25">
      <c r="A169" s="324" t="s">
        <v>793</v>
      </c>
      <c r="B169" s="323" t="s">
        <v>793</v>
      </c>
      <c r="C169" s="324" t="s">
        <v>496</v>
      </c>
      <c r="D169" s="356" t="s">
        <v>296</v>
      </c>
      <c r="E169" s="377" t="s">
        <v>792</v>
      </c>
      <c r="F169" s="341">
        <f>'Final OAP'!K169+'Final OAP'!O169+'Final OAP'!R169-'Final OAP'!U169</f>
        <v>0</v>
      </c>
      <c r="G169" s="341">
        <f>'Final OAP'!L169+'Final OAP'!P169+'Final OAP'!S169-'Final OAP'!V169</f>
        <v>4532764</v>
      </c>
      <c r="H169" s="341">
        <f>'Final OAP'!M169+'Final OAP'!Q169+'Final OAP'!T169-'Final OAP'!W169</f>
        <v>0</v>
      </c>
      <c r="I169" s="341">
        <f t="shared" si="62"/>
        <v>4532764</v>
      </c>
      <c r="J169" s="310" t="s">
        <v>74</v>
      </c>
      <c r="K169" s="364">
        <v>16019</v>
      </c>
      <c r="L169" s="366"/>
      <c r="M169" s="344">
        <f t="shared" si="59"/>
        <v>0</v>
      </c>
      <c r="N169" s="366">
        <v>4006611</v>
      </c>
      <c r="O169" s="343">
        <f t="shared" si="60"/>
        <v>526153</v>
      </c>
      <c r="P169" s="366"/>
      <c r="Q169" s="346">
        <f t="shared" si="61"/>
        <v>0</v>
      </c>
      <c r="R169" s="364">
        <v>28919</v>
      </c>
      <c r="S169" s="395">
        <v>43648</v>
      </c>
      <c r="T169" s="364" t="s">
        <v>823</v>
      </c>
      <c r="U169" s="364" t="s">
        <v>820</v>
      </c>
      <c r="V169" s="366"/>
      <c r="W169" s="350">
        <f t="shared" si="63"/>
        <v>0</v>
      </c>
      <c r="X169" s="366"/>
      <c r="Y169" s="366">
        <v>4006611</v>
      </c>
      <c r="Z169" s="351">
        <f t="shared" si="64"/>
        <v>526153</v>
      </c>
      <c r="AA169" s="366">
        <v>4006611</v>
      </c>
      <c r="AB169" s="416"/>
      <c r="AC169" s="353">
        <f t="shared" si="65"/>
        <v>0</v>
      </c>
      <c r="AD169" s="354"/>
    </row>
    <row r="170" spans="1:30" s="365" customFormat="1" ht="81" customHeight="1" x14ac:dyDescent="0.3">
      <c r="A170" s="315" t="s">
        <v>500</v>
      </c>
      <c r="B170" s="314" t="s">
        <v>500</v>
      </c>
      <c r="C170" s="324" t="s">
        <v>496</v>
      </c>
      <c r="D170" s="414" t="s">
        <v>296</v>
      </c>
      <c r="E170" s="434" t="s">
        <v>437</v>
      </c>
      <c r="F170" s="341">
        <f>'Final OAP'!K170+'Final OAP'!O170+'Final OAP'!R170-'Final OAP'!U170</f>
        <v>1030154</v>
      </c>
      <c r="G170" s="341">
        <f>'Final OAP'!L170+'Final OAP'!P170+'Final OAP'!S170-'Final OAP'!V170</f>
        <v>1192457</v>
      </c>
      <c r="H170" s="341">
        <f>'Final OAP'!M170+'Final OAP'!Q170+'Final OAP'!T170-'Final OAP'!W170</f>
        <v>0</v>
      </c>
      <c r="I170" s="341">
        <f t="shared" si="62"/>
        <v>2222611</v>
      </c>
      <c r="J170" s="310" t="s">
        <v>74</v>
      </c>
      <c r="K170" s="364" t="s">
        <v>798</v>
      </c>
      <c r="L170" s="366">
        <v>1030154</v>
      </c>
      <c r="M170" s="516">
        <f t="shared" si="59"/>
        <v>0</v>
      </c>
      <c r="N170" s="366">
        <f>1194121-1664</f>
        <v>1192457</v>
      </c>
      <c r="O170" s="515">
        <f t="shared" si="60"/>
        <v>0</v>
      </c>
      <c r="P170" s="366"/>
      <c r="Q170" s="346">
        <f t="shared" si="61"/>
        <v>0</v>
      </c>
      <c r="R170" s="364" t="s">
        <v>819</v>
      </c>
      <c r="S170" s="395" t="s">
        <v>822</v>
      </c>
      <c r="T170" s="364" t="s">
        <v>824</v>
      </c>
      <c r="U170" s="364" t="s">
        <v>821</v>
      </c>
      <c r="V170" s="366">
        <v>1030154</v>
      </c>
      <c r="W170" s="350">
        <f t="shared" si="63"/>
        <v>0</v>
      </c>
      <c r="X170" s="366"/>
      <c r="Y170" s="366">
        <v>1192457</v>
      </c>
      <c r="Z170" s="351">
        <f t="shared" si="64"/>
        <v>0</v>
      </c>
      <c r="AA170" s="366">
        <v>1192457</v>
      </c>
      <c r="AB170" s="416"/>
      <c r="AC170" s="353">
        <f t="shared" si="65"/>
        <v>0</v>
      </c>
      <c r="AD170" s="354"/>
    </row>
    <row r="171" spans="1:30" s="365" customFormat="1" ht="60.75" customHeight="1" x14ac:dyDescent="0.3">
      <c r="A171" s="315"/>
      <c r="B171" s="314"/>
      <c r="C171" s="324" t="s">
        <v>495</v>
      </c>
      <c r="D171" s="414" t="s">
        <v>296</v>
      </c>
      <c r="E171" s="434" t="s">
        <v>742</v>
      </c>
      <c r="F171" s="341">
        <f>'Final OAP'!K171+'Final OAP'!O171+'Final OAP'!R171-'Final OAP'!U171</f>
        <v>0</v>
      </c>
      <c r="G171" s="341">
        <f>'Final OAP'!L171+'Final OAP'!P171+'Final OAP'!S171-'Final OAP'!V171</f>
        <v>4366427</v>
      </c>
      <c r="H171" s="341">
        <f>'Final OAP'!M171+'Final OAP'!Q171+'Final OAP'!T171-'Final OAP'!W171</f>
        <v>0</v>
      </c>
      <c r="I171" s="341">
        <f t="shared" si="62"/>
        <v>4366427</v>
      </c>
      <c r="J171" s="310" t="s">
        <v>74</v>
      </c>
      <c r="K171" s="364">
        <v>9419</v>
      </c>
      <c r="L171" s="366"/>
      <c r="M171" s="344">
        <f t="shared" si="59"/>
        <v>0</v>
      </c>
      <c r="N171" s="366">
        <v>4366427</v>
      </c>
      <c r="O171" s="515">
        <f t="shared" si="60"/>
        <v>0</v>
      </c>
      <c r="P171" s="366"/>
      <c r="Q171" s="346">
        <f t="shared" si="61"/>
        <v>0</v>
      </c>
      <c r="R171" s="364">
        <v>18219</v>
      </c>
      <c r="S171" s="395">
        <v>43585</v>
      </c>
      <c r="T171" s="364" t="s">
        <v>761</v>
      </c>
      <c r="U171" s="364" t="s">
        <v>525</v>
      </c>
      <c r="V171" s="366"/>
      <c r="W171" s="350">
        <f t="shared" si="63"/>
        <v>0</v>
      </c>
      <c r="X171" s="366"/>
      <c r="Y171" s="366">
        <v>4366427</v>
      </c>
      <c r="Z171" s="351">
        <f t="shared" si="64"/>
        <v>0</v>
      </c>
      <c r="AA171" s="366">
        <f>1637412+545804+545804+1091607</f>
        <v>3820627</v>
      </c>
      <c r="AB171" s="416"/>
      <c r="AC171" s="353">
        <f t="shared" si="65"/>
        <v>0</v>
      </c>
      <c r="AD171" s="354"/>
    </row>
    <row r="172" spans="1:30" ht="60.75" customHeight="1" x14ac:dyDescent="0.3">
      <c r="A172" s="315" t="s">
        <v>465</v>
      </c>
      <c r="B172" s="314" t="s">
        <v>465</v>
      </c>
      <c r="C172" s="324" t="s">
        <v>496</v>
      </c>
      <c r="D172" s="414" t="s">
        <v>296</v>
      </c>
      <c r="E172" s="431" t="s">
        <v>466</v>
      </c>
      <c r="F172" s="341">
        <f>'Final OAP'!K172+'Final OAP'!O172+'Final OAP'!R172-'Final OAP'!U172</f>
        <v>0</v>
      </c>
      <c r="G172" s="341">
        <f>'Final OAP'!L172+'Final OAP'!P172+'Final OAP'!S172-'Final OAP'!V172</f>
        <v>0</v>
      </c>
      <c r="H172" s="341">
        <f>'Final OAP'!M172+'Final OAP'!Q172+'Final OAP'!T172-'Final OAP'!W172</f>
        <v>0</v>
      </c>
      <c r="I172" s="341">
        <f t="shared" si="62"/>
        <v>0</v>
      </c>
      <c r="J172" s="310" t="s">
        <v>74</v>
      </c>
      <c r="K172" s="364"/>
      <c r="L172" s="366"/>
      <c r="M172" s="516">
        <f t="shared" si="59"/>
        <v>0</v>
      </c>
      <c r="N172" s="366"/>
      <c r="O172" s="515">
        <f t="shared" si="60"/>
        <v>0</v>
      </c>
      <c r="P172" s="366"/>
      <c r="Q172" s="346">
        <f t="shared" si="61"/>
        <v>0</v>
      </c>
      <c r="R172" s="364"/>
      <c r="S172" s="364"/>
      <c r="T172" s="364"/>
      <c r="U172" s="364"/>
      <c r="V172" s="366"/>
      <c r="W172" s="350">
        <f t="shared" si="63"/>
        <v>0</v>
      </c>
      <c r="X172" s="366"/>
      <c r="Y172" s="366"/>
      <c r="Z172" s="351">
        <f t="shared" si="64"/>
        <v>0</v>
      </c>
      <c r="AA172" s="366"/>
      <c r="AB172" s="416"/>
      <c r="AC172" s="353">
        <f t="shared" si="65"/>
        <v>0</v>
      </c>
      <c r="AD172" s="354"/>
    </row>
    <row r="173" spans="1:30" s="322" customFormat="1" ht="60.75" customHeight="1" x14ac:dyDescent="0.3">
      <c r="A173" s="315" t="s">
        <v>301</v>
      </c>
      <c r="B173" s="314" t="s">
        <v>301</v>
      </c>
      <c r="C173" s="315" t="s">
        <v>479</v>
      </c>
      <c r="D173" s="414" t="s">
        <v>296</v>
      </c>
      <c r="E173" s="431" t="s">
        <v>433</v>
      </c>
      <c r="F173" s="341">
        <f>'Final OAP'!K173+'Final OAP'!O173+'Final OAP'!R173-'Final OAP'!U173</f>
        <v>256545</v>
      </c>
      <c r="G173" s="341">
        <f>'Final OAP'!L173+'Final OAP'!P173+'Final OAP'!S173-'Final OAP'!V173</f>
        <v>0</v>
      </c>
      <c r="H173" s="341">
        <f>'Final OAP'!M173+'Final OAP'!Q173+'Final OAP'!T173-'Final OAP'!W173</f>
        <v>0</v>
      </c>
      <c r="I173" s="341">
        <f t="shared" si="62"/>
        <v>256545</v>
      </c>
      <c r="J173" s="310" t="s">
        <v>74</v>
      </c>
      <c r="K173" s="364">
        <v>9419</v>
      </c>
      <c r="L173" s="435">
        <v>256545</v>
      </c>
      <c r="M173" s="516">
        <f t="shared" ref="M173:M183" si="66">F173-L173</f>
        <v>0</v>
      </c>
      <c r="N173" s="366"/>
      <c r="O173" s="343">
        <f t="shared" ref="O173:O183" si="67">+G173-N173</f>
        <v>0</v>
      </c>
      <c r="P173" s="366"/>
      <c r="Q173" s="346">
        <f t="shared" ref="Q173:Q183" si="68">H173-P173</f>
        <v>0</v>
      </c>
      <c r="R173" s="364">
        <v>18219</v>
      </c>
      <c r="S173" s="395">
        <v>43585</v>
      </c>
      <c r="T173" s="364" t="s">
        <v>761</v>
      </c>
      <c r="U173" s="364" t="s">
        <v>525</v>
      </c>
      <c r="V173" s="435">
        <v>256545</v>
      </c>
      <c r="W173" s="350">
        <f t="shared" si="63"/>
        <v>0</v>
      </c>
      <c r="X173" s="435"/>
      <c r="Y173" s="366"/>
      <c r="Z173" s="351">
        <f t="shared" si="64"/>
        <v>0</v>
      </c>
      <c r="AA173" s="435"/>
      <c r="AB173" s="392"/>
      <c r="AC173" s="353">
        <f t="shared" si="65"/>
        <v>0</v>
      </c>
      <c r="AD173" s="354"/>
    </row>
    <row r="174" spans="1:30" s="365" customFormat="1" ht="101.25" customHeight="1" x14ac:dyDescent="0.3">
      <c r="A174" s="315" t="s">
        <v>391</v>
      </c>
      <c r="B174" s="314" t="s">
        <v>391</v>
      </c>
      <c r="C174" s="315" t="s">
        <v>479</v>
      </c>
      <c r="D174" s="414" t="s">
        <v>296</v>
      </c>
      <c r="E174" s="424" t="s">
        <v>453</v>
      </c>
      <c r="F174" s="341">
        <f>'Final OAP'!K174+'Final OAP'!O174+'Final OAP'!R174-'Final OAP'!U174</f>
        <v>319390</v>
      </c>
      <c r="G174" s="341">
        <f>'Final OAP'!L174+'Final OAP'!P174+'Final OAP'!S174-'Final OAP'!V174</f>
        <v>0</v>
      </c>
      <c r="H174" s="341">
        <f>'Final OAP'!M174+'Final OAP'!Q174+'Final OAP'!T174-'Final OAP'!W174</f>
        <v>0</v>
      </c>
      <c r="I174" s="341">
        <f t="shared" si="62"/>
        <v>319390</v>
      </c>
      <c r="J174" s="310" t="s">
        <v>74</v>
      </c>
      <c r="K174" s="364" t="s">
        <v>818</v>
      </c>
      <c r="L174" s="366">
        <f>60000+60000+19390</f>
        <v>139390</v>
      </c>
      <c r="M174" s="489">
        <f t="shared" si="66"/>
        <v>180000</v>
      </c>
      <c r="N174" s="366"/>
      <c r="O174" s="343">
        <f t="shared" si="67"/>
        <v>0</v>
      </c>
      <c r="P174" s="343"/>
      <c r="Q174" s="346">
        <f t="shared" si="68"/>
        <v>0</v>
      </c>
      <c r="R174" s="364" t="s">
        <v>825</v>
      </c>
      <c r="S174" s="395" t="s">
        <v>826</v>
      </c>
      <c r="T174" s="364" t="s">
        <v>827</v>
      </c>
      <c r="U174" s="364" t="s">
        <v>659</v>
      </c>
      <c r="V174" s="366">
        <f>60000+60000+19390</f>
        <v>139390</v>
      </c>
      <c r="W174" s="350">
        <f t="shared" si="63"/>
        <v>180000</v>
      </c>
      <c r="X174" s="366">
        <f>60000+60000+19390</f>
        <v>139390</v>
      </c>
      <c r="Y174" s="366"/>
      <c r="Z174" s="351">
        <f t="shared" si="64"/>
        <v>0</v>
      </c>
      <c r="AA174" s="366"/>
      <c r="AB174" s="392"/>
      <c r="AC174" s="353">
        <f t="shared" si="65"/>
        <v>0</v>
      </c>
      <c r="AD174" s="354"/>
    </row>
    <row r="175" spans="1:30" s="322" customFormat="1" ht="60.75" customHeight="1" x14ac:dyDescent="0.25">
      <c r="A175" s="430" t="s">
        <v>303</v>
      </c>
      <c r="B175" s="409" t="s">
        <v>303</v>
      </c>
      <c r="C175" s="324" t="s">
        <v>479</v>
      </c>
      <c r="D175" s="356" t="s">
        <v>296</v>
      </c>
      <c r="E175" s="431" t="s">
        <v>434</v>
      </c>
      <c r="F175" s="341">
        <f>'Final OAP'!K175+'Final OAP'!O175+'Final OAP'!R175-'Final OAP'!U175</f>
        <v>3885548</v>
      </c>
      <c r="G175" s="341">
        <f>'Final OAP'!L175+'Final OAP'!P175+'Final OAP'!S175-'Final OAP'!V175</f>
        <v>0</v>
      </c>
      <c r="H175" s="341">
        <f>'Final OAP'!M175+'Final OAP'!Q175+'Final OAP'!T175-'Final OAP'!W175</f>
        <v>0</v>
      </c>
      <c r="I175" s="341">
        <f t="shared" si="62"/>
        <v>3885548</v>
      </c>
      <c r="J175" s="310" t="s">
        <v>74</v>
      </c>
      <c r="K175" s="364" t="s">
        <v>757</v>
      </c>
      <c r="L175" s="366">
        <f>2315742+1569806</f>
        <v>3885548</v>
      </c>
      <c r="M175" s="344">
        <f t="shared" si="66"/>
        <v>0</v>
      </c>
      <c r="N175" s="366"/>
      <c r="O175" s="343">
        <f t="shared" si="67"/>
        <v>0</v>
      </c>
      <c r="P175" s="343"/>
      <c r="Q175" s="346">
        <f t="shared" si="68"/>
        <v>0</v>
      </c>
      <c r="R175" s="364" t="s">
        <v>759</v>
      </c>
      <c r="S175" s="395" t="s">
        <v>760</v>
      </c>
      <c r="T175" s="364" t="s">
        <v>762</v>
      </c>
      <c r="U175" s="364" t="s">
        <v>525</v>
      </c>
      <c r="V175" s="366">
        <f>2315742+1569806</f>
        <v>3885548</v>
      </c>
      <c r="W175" s="350">
        <f t="shared" si="63"/>
        <v>0</v>
      </c>
      <c r="X175" s="366">
        <f>409856+1905886+439043</f>
        <v>2754785</v>
      </c>
      <c r="Y175" s="368"/>
      <c r="Z175" s="351">
        <f t="shared" si="64"/>
        <v>0</v>
      </c>
      <c r="AA175" s="366"/>
      <c r="AB175" s="350"/>
      <c r="AC175" s="353">
        <f t="shared" si="65"/>
        <v>0</v>
      </c>
      <c r="AD175" s="354"/>
    </row>
    <row r="176" spans="1:30" s="322" customFormat="1" ht="121.5" customHeight="1" x14ac:dyDescent="0.3">
      <c r="A176" s="315" t="s">
        <v>304</v>
      </c>
      <c r="B176" s="314" t="s">
        <v>717</v>
      </c>
      <c r="C176" s="315" t="s">
        <v>479</v>
      </c>
      <c r="D176" s="356" t="s">
        <v>296</v>
      </c>
      <c r="E176" s="436" t="s">
        <v>302</v>
      </c>
      <c r="F176" s="341">
        <f>'Final OAP'!K176+'Final OAP'!O176+'Final OAP'!R176-'Final OAP'!U176</f>
        <v>19921359</v>
      </c>
      <c r="G176" s="341">
        <f>'Final OAP'!L176+'Final OAP'!P176+'Final OAP'!S176-'Final OAP'!V176</f>
        <v>0</v>
      </c>
      <c r="H176" s="341">
        <f>'Final OAP'!M176+'Final OAP'!Q176+'Final OAP'!T176-'Final OAP'!W176</f>
        <v>0</v>
      </c>
      <c r="I176" s="341">
        <f t="shared" si="62"/>
        <v>19921359</v>
      </c>
      <c r="J176" s="310" t="s">
        <v>74</v>
      </c>
      <c r="K176" s="364" t="s">
        <v>883</v>
      </c>
      <c r="L176" s="366">
        <f>5524668+138166-1036834+15903995-2921995</f>
        <v>17608000</v>
      </c>
      <c r="M176" s="344">
        <f t="shared" si="66"/>
        <v>2313359</v>
      </c>
      <c r="N176" s="366">
        <f>2843005-2843005</f>
        <v>0</v>
      </c>
      <c r="O176" s="343">
        <f t="shared" si="67"/>
        <v>0</v>
      </c>
      <c r="P176" s="366"/>
      <c r="Q176" s="346">
        <f t="shared" si="68"/>
        <v>0</v>
      </c>
      <c r="R176" s="364" t="s">
        <v>905</v>
      </c>
      <c r="S176" s="395" t="s">
        <v>906</v>
      </c>
      <c r="T176" s="364" t="s">
        <v>907</v>
      </c>
      <c r="U176" s="364" t="s">
        <v>908</v>
      </c>
      <c r="V176" s="366">
        <f>4626000+12982000</f>
        <v>17608000</v>
      </c>
      <c r="W176" s="350">
        <f t="shared" si="63"/>
        <v>2313359</v>
      </c>
      <c r="X176" s="366">
        <f>4626000+12982000</f>
        <v>17608000</v>
      </c>
      <c r="Y176" s="366"/>
      <c r="Z176" s="351">
        <f t="shared" si="64"/>
        <v>0</v>
      </c>
      <c r="AA176" s="366"/>
      <c r="AB176" s="392"/>
      <c r="AC176" s="353">
        <f t="shared" si="65"/>
        <v>0</v>
      </c>
      <c r="AD176" s="354"/>
    </row>
    <row r="177" spans="1:33" s="322" customFormat="1" ht="60.75" customHeight="1" x14ac:dyDescent="0.3">
      <c r="A177" s="437" t="s">
        <v>332</v>
      </c>
      <c r="B177" s="438" t="s">
        <v>332</v>
      </c>
      <c r="C177" s="412" t="s">
        <v>478</v>
      </c>
      <c r="D177" s="414" t="s">
        <v>296</v>
      </c>
      <c r="E177" s="431" t="s">
        <v>432</v>
      </c>
      <c r="F177" s="341">
        <f>'Final OAP'!K177+'Final OAP'!O177+'Final OAP'!R177-'Final OAP'!U177</f>
        <v>0</v>
      </c>
      <c r="G177" s="341">
        <f>'Final OAP'!L177+'Final OAP'!P177+'Final OAP'!S177-'Final OAP'!V177</f>
        <v>139186</v>
      </c>
      <c r="H177" s="341">
        <f>'Final OAP'!M177+'Final OAP'!Q177+'Final OAP'!T177-'Final OAP'!W177</f>
        <v>0</v>
      </c>
      <c r="I177" s="341">
        <f t="shared" si="62"/>
        <v>139186</v>
      </c>
      <c r="J177" s="310" t="s">
        <v>74</v>
      </c>
      <c r="K177" s="364">
        <v>9419</v>
      </c>
      <c r="L177" s="366"/>
      <c r="M177" s="344">
        <f t="shared" si="66"/>
        <v>0</v>
      </c>
      <c r="N177" s="366">
        <v>139186</v>
      </c>
      <c r="O177" s="515">
        <f t="shared" si="67"/>
        <v>0</v>
      </c>
      <c r="P177" s="366"/>
      <c r="Q177" s="346">
        <f t="shared" si="68"/>
        <v>0</v>
      </c>
      <c r="R177" s="364">
        <v>18219</v>
      </c>
      <c r="S177" s="395">
        <v>43585</v>
      </c>
      <c r="T177" s="364" t="s">
        <v>761</v>
      </c>
      <c r="U177" s="364" t="s">
        <v>525</v>
      </c>
      <c r="V177" s="366"/>
      <c r="W177" s="350">
        <f t="shared" si="63"/>
        <v>0</v>
      </c>
      <c r="X177" s="366"/>
      <c r="Y177" s="366">
        <v>139186</v>
      </c>
      <c r="Z177" s="351">
        <f t="shared" si="64"/>
        <v>0</v>
      </c>
      <c r="AA177" s="366"/>
      <c r="AB177" s="392"/>
      <c r="AC177" s="353">
        <f t="shared" si="65"/>
        <v>0</v>
      </c>
      <c r="AD177" s="354"/>
    </row>
    <row r="178" spans="1:33" s="322" customFormat="1" ht="84.75" customHeight="1" x14ac:dyDescent="0.3">
      <c r="A178" s="437"/>
      <c r="B178" s="438"/>
      <c r="C178" s="412" t="s">
        <v>477</v>
      </c>
      <c r="D178" s="414" t="s">
        <v>296</v>
      </c>
      <c r="E178" s="431" t="s">
        <v>1085</v>
      </c>
      <c r="F178" s="341"/>
      <c r="G178" s="341">
        <v>11626400</v>
      </c>
      <c r="H178" s="341"/>
      <c r="I178" s="341">
        <v>11626400</v>
      </c>
      <c r="J178" s="310" t="s">
        <v>74</v>
      </c>
      <c r="K178" s="544">
        <v>37319</v>
      </c>
      <c r="L178" s="366"/>
      <c r="M178" s="344">
        <f t="shared" si="66"/>
        <v>0</v>
      </c>
      <c r="N178" s="366">
        <v>11600596</v>
      </c>
      <c r="O178" s="515">
        <f t="shared" si="67"/>
        <v>25804</v>
      </c>
      <c r="P178" s="366"/>
      <c r="Q178" s="346"/>
      <c r="R178" s="544">
        <v>58319</v>
      </c>
      <c r="S178" s="395">
        <v>43819</v>
      </c>
      <c r="T178" s="544" t="s">
        <v>1179</v>
      </c>
      <c r="U178" s="558" t="s">
        <v>820</v>
      </c>
      <c r="V178" s="366"/>
      <c r="W178" s="350">
        <f t="shared" ref="W178" si="69">F178-V178</f>
        <v>0</v>
      </c>
      <c r="X178" s="366"/>
      <c r="Y178" s="366">
        <v>11600596</v>
      </c>
      <c r="Z178" s="351">
        <f t="shared" ref="Z178" si="70">G178-Y178</f>
        <v>25804</v>
      </c>
      <c r="AA178" s="366"/>
      <c r="AB178" s="392"/>
      <c r="AC178" s="353">
        <f t="shared" ref="AC178" si="71">H178-AB178</f>
        <v>0</v>
      </c>
      <c r="AD178" s="354"/>
    </row>
    <row r="179" spans="1:33" ht="60.75" customHeight="1" x14ac:dyDescent="0.3">
      <c r="A179" s="315" t="s">
        <v>1030</v>
      </c>
      <c r="B179" s="439">
        <v>1706611</v>
      </c>
      <c r="C179" s="412" t="s">
        <v>477</v>
      </c>
      <c r="D179" s="414" t="s">
        <v>296</v>
      </c>
      <c r="E179" s="431" t="s">
        <v>1031</v>
      </c>
      <c r="F179" s="341">
        <f>'Final OAP'!K179+'Final OAP'!O179+'Final OAP'!R179-'Final OAP'!U179</f>
        <v>0</v>
      </c>
      <c r="G179" s="341">
        <f>'Final OAP'!L179+'Final OAP'!P179+'Final OAP'!S179-'Final OAP'!V179</f>
        <v>18373600</v>
      </c>
      <c r="H179" s="341">
        <f>'Final OAP'!M179+'Final OAP'!Q179+'Final OAP'!T179-'Final OAP'!W179</f>
        <v>0</v>
      </c>
      <c r="I179" s="341">
        <f t="shared" si="62"/>
        <v>18373600</v>
      </c>
      <c r="J179" s="310" t="s">
        <v>74</v>
      </c>
      <c r="K179" s="440">
        <v>31519</v>
      </c>
      <c r="L179" s="422"/>
      <c r="M179" s="344">
        <f t="shared" si="66"/>
        <v>0</v>
      </c>
      <c r="N179" s="343">
        <f>23090533-4716933</f>
        <v>18373600</v>
      </c>
      <c r="O179" s="343">
        <f t="shared" si="67"/>
        <v>0</v>
      </c>
      <c r="P179" s="366"/>
      <c r="Q179" s="346">
        <f t="shared" si="68"/>
        <v>0</v>
      </c>
      <c r="R179" s="364" t="s">
        <v>1099</v>
      </c>
      <c r="S179" s="395" t="s">
        <v>1100</v>
      </c>
      <c r="T179" s="364" t="s">
        <v>1069</v>
      </c>
      <c r="U179" s="364" t="s">
        <v>1070</v>
      </c>
      <c r="V179" s="366"/>
      <c r="W179" s="350">
        <f t="shared" si="63"/>
        <v>0</v>
      </c>
      <c r="X179" s="366"/>
      <c r="Y179" s="366">
        <f>16231600+2142000</f>
        <v>18373600</v>
      </c>
      <c r="Z179" s="351">
        <f t="shared" si="64"/>
        <v>0</v>
      </c>
      <c r="AA179" s="366"/>
      <c r="AB179" s="392"/>
      <c r="AC179" s="353">
        <f t="shared" si="65"/>
        <v>0</v>
      </c>
      <c r="AD179" s="354"/>
    </row>
    <row r="180" spans="1:33" s="311" customFormat="1" ht="60.75" customHeight="1" x14ac:dyDescent="0.25">
      <c r="A180" s="315" t="s">
        <v>643</v>
      </c>
      <c r="B180" s="314" t="s">
        <v>643</v>
      </c>
      <c r="C180" s="315" t="s">
        <v>654</v>
      </c>
      <c r="D180" s="315"/>
      <c r="E180" s="431" t="s">
        <v>647</v>
      </c>
      <c r="F180" s="341">
        <f>'Final OAP'!K180+'Final OAP'!O180+'Final OAP'!R180-'Final OAP'!U180</f>
        <v>310000000</v>
      </c>
      <c r="G180" s="341">
        <f>'Final OAP'!L180+'Final OAP'!P180+'Final OAP'!S180-'Final OAP'!V180</f>
        <v>0</v>
      </c>
      <c r="H180" s="341">
        <f>'Final OAP'!M180+'Final OAP'!Q180+'Final OAP'!T180-'Final OAP'!W180</f>
        <v>0</v>
      </c>
      <c r="I180" s="341">
        <f t="shared" si="62"/>
        <v>310000000</v>
      </c>
      <c r="J180" s="310" t="s">
        <v>74</v>
      </c>
      <c r="K180" s="366"/>
      <c r="L180" s="366"/>
      <c r="M180" s="344">
        <f t="shared" si="66"/>
        <v>310000000</v>
      </c>
      <c r="N180" s="366"/>
      <c r="O180" s="343">
        <f t="shared" si="67"/>
        <v>0</v>
      </c>
      <c r="P180" s="366"/>
      <c r="Q180" s="346">
        <f t="shared" si="68"/>
        <v>0</v>
      </c>
      <c r="R180" s="364"/>
      <c r="S180" s="364"/>
      <c r="T180" s="364"/>
      <c r="U180" s="364"/>
      <c r="V180" s="366"/>
      <c r="W180" s="350">
        <f t="shared" si="63"/>
        <v>310000000</v>
      </c>
      <c r="X180" s="366"/>
      <c r="Y180" s="366"/>
      <c r="Z180" s="351">
        <f t="shared" si="64"/>
        <v>0</v>
      </c>
      <c r="AA180" s="366"/>
      <c r="AB180" s="364"/>
      <c r="AC180" s="353">
        <f t="shared" si="65"/>
        <v>0</v>
      </c>
      <c r="AD180" s="354"/>
    </row>
    <row r="181" spans="1:33" s="311" customFormat="1" ht="60.75" customHeight="1" x14ac:dyDescent="0.25">
      <c r="A181" s="315" t="s">
        <v>644</v>
      </c>
      <c r="B181" s="314" t="s">
        <v>644</v>
      </c>
      <c r="C181" s="315" t="s">
        <v>648</v>
      </c>
      <c r="D181" s="414" t="s">
        <v>296</v>
      </c>
      <c r="E181" s="431" t="s">
        <v>640</v>
      </c>
      <c r="F181" s="341">
        <f>'Final OAP'!K181+'Final OAP'!O181+'Final OAP'!R181-'Final OAP'!U181</f>
        <v>20088000</v>
      </c>
      <c r="G181" s="341">
        <f>'Final OAP'!L181+'Final OAP'!P181+'Final OAP'!S181-'Final OAP'!V181</f>
        <v>0</v>
      </c>
      <c r="H181" s="341">
        <f>'Final OAP'!M181+'Final OAP'!Q181+'Final OAP'!T181-'Final OAP'!W181</f>
        <v>0</v>
      </c>
      <c r="I181" s="341">
        <f t="shared" si="62"/>
        <v>20088000</v>
      </c>
      <c r="J181" s="310" t="s">
        <v>74</v>
      </c>
      <c r="K181" s="441" t="s">
        <v>794</v>
      </c>
      <c r="L181" s="366">
        <f>13652000+6436000</f>
        <v>20088000</v>
      </c>
      <c r="M181" s="344">
        <f t="shared" si="66"/>
        <v>0</v>
      </c>
      <c r="N181" s="366"/>
      <c r="O181" s="343">
        <f t="shared" si="67"/>
        <v>0</v>
      </c>
      <c r="P181" s="366"/>
      <c r="Q181" s="346">
        <f t="shared" si="68"/>
        <v>0</v>
      </c>
      <c r="R181" s="364" t="s">
        <v>992</v>
      </c>
      <c r="S181" s="395" t="s">
        <v>993</v>
      </c>
      <c r="T181" s="364" t="s">
        <v>296</v>
      </c>
      <c r="U181" s="364" t="s">
        <v>667</v>
      </c>
      <c r="V181" s="366">
        <f>13652000+6436000</f>
        <v>20088000</v>
      </c>
      <c r="W181" s="350">
        <f t="shared" si="63"/>
        <v>0</v>
      </c>
      <c r="X181" s="366">
        <f>13652000+6436000</f>
        <v>20088000</v>
      </c>
      <c r="Y181" s="366"/>
      <c r="Z181" s="351">
        <f t="shared" si="64"/>
        <v>0</v>
      </c>
      <c r="AA181" s="366"/>
      <c r="AB181" s="364"/>
      <c r="AC181" s="353">
        <f t="shared" si="65"/>
        <v>0</v>
      </c>
      <c r="AD181" s="354"/>
    </row>
    <row r="182" spans="1:33" s="311" customFormat="1" ht="60.75" customHeight="1" x14ac:dyDescent="0.25">
      <c r="A182" s="315" t="s">
        <v>645</v>
      </c>
      <c r="B182" s="418" t="s">
        <v>645</v>
      </c>
      <c r="C182" s="324" t="s">
        <v>691</v>
      </c>
      <c r="D182" s="414" t="s">
        <v>296</v>
      </c>
      <c r="E182" s="431" t="s">
        <v>641</v>
      </c>
      <c r="F182" s="341">
        <f>'Final OAP'!K182+'Final OAP'!O182+'Final OAP'!R182-'Final OAP'!U182</f>
        <v>55000</v>
      </c>
      <c r="G182" s="341">
        <f>'Final OAP'!L182+'Final OAP'!P182+'Final OAP'!S182-'Final OAP'!V182</f>
        <v>0</v>
      </c>
      <c r="H182" s="341">
        <f>'Final OAP'!M182+'Final OAP'!Q182+'Final OAP'!T182-'Final OAP'!W182</f>
        <v>0</v>
      </c>
      <c r="I182" s="341">
        <f t="shared" si="62"/>
        <v>55000</v>
      </c>
      <c r="J182" s="310" t="s">
        <v>74</v>
      </c>
      <c r="K182" s="422">
        <v>29819</v>
      </c>
      <c r="L182" s="422">
        <v>55000</v>
      </c>
      <c r="M182" s="344">
        <f t="shared" si="66"/>
        <v>0</v>
      </c>
      <c r="N182" s="366"/>
      <c r="O182" s="343">
        <f t="shared" si="67"/>
        <v>0</v>
      </c>
      <c r="P182" s="366"/>
      <c r="Q182" s="346">
        <f t="shared" si="68"/>
        <v>0</v>
      </c>
      <c r="R182" s="364">
        <v>48319</v>
      </c>
      <c r="S182" s="395">
        <v>43747</v>
      </c>
      <c r="T182" s="364"/>
      <c r="U182" s="364" t="s">
        <v>667</v>
      </c>
      <c r="V182" s="366">
        <v>55000</v>
      </c>
      <c r="W182" s="350">
        <f t="shared" si="63"/>
        <v>0</v>
      </c>
      <c r="X182" s="366">
        <v>55000</v>
      </c>
      <c r="Y182" s="366"/>
      <c r="Z182" s="351">
        <f t="shared" si="64"/>
        <v>0</v>
      </c>
      <c r="AA182" s="366"/>
      <c r="AB182" s="364"/>
      <c r="AC182" s="353">
        <f t="shared" si="65"/>
        <v>0</v>
      </c>
      <c r="AD182" s="354"/>
    </row>
    <row r="183" spans="1:33" s="311" customFormat="1" ht="60.75" customHeight="1" x14ac:dyDescent="0.25">
      <c r="A183" s="315" t="s">
        <v>646</v>
      </c>
      <c r="B183" s="314" t="s">
        <v>646</v>
      </c>
      <c r="C183" s="315" t="s">
        <v>692</v>
      </c>
      <c r="D183" s="414" t="s">
        <v>296</v>
      </c>
      <c r="E183" s="431" t="s">
        <v>642</v>
      </c>
      <c r="F183" s="341">
        <f>'Final OAP'!K183+'Final OAP'!O183+'Final OAP'!R183-'Final OAP'!U183</f>
        <v>10681600</v>
      </c>
      <c r="G183" s="341">
        <f>'Final OAP'!L183+'Final OAP'!P183+'Final OAP'!S183-'Final OAP'!V183</f>
        <v>0</v>
      </c>
      <c r="H183" s="341">
        <f>'Final OAP'!M183+'Final OAP'!Q183+'Final OAP'!T183-'Final OAP'!W183</f>
        <v>0</v>
      </c>
      <c r="I183" s="341">
        <f t="shared" si="62"/>
        <v>10681600</v>
      </c>
      <c r="J183" s="310" t="s">
        <v>74</v>
      </c>
      <c r="K183" s="366">
        <v>37419</v>
      </c>
      <c r="L183" s="366">
        <v>9000000</v>
      </c>
      <c r="M183" s="344">
        <f t="shared" si="66"/>
        <v>1681600</v>
      </c>
      <c r="N183" s="366"/>
      <c r="O183" s="343">
        <f t="shared" si="67"/>
        <v>0</v>
      </c>
      <c r="P183" s="366"/>
      <c r="Q183" s="346">
        <f t="shared" si="68"/>
        <v>0</v>
      </c>
      <c r="R183" s="364">
        <v>58119</v>
      </c>
      <c r="S183" s="395">
        <v>43819</v>
      </c>
      <c r="T183" s="364"/>
      <c r="U183" s="558" t="s">
        <v>1180</v>
      </c>
      <c r="V183" s="366">
        <v>9000000</v>
      </c>
      <c r="W183" s="350">
        <f t="shared" si="63"/>
        <v>1681600</v>
      </c>
      <c r="X183" s="366">
        <v>9000000</v>
      </c>
      <c r="Y183" s="366"/>
      <c r="Z183" s="351">
        <f t="shared" si="64"/>
        <v>0</v>
      </c>
      <c r="AA183" s="366"/>
      <c r="AB183" s="364"/>
      <c r="AC183" s="353">
        <f t="shared" si="65"/>
        <v>0</v>
      </c>
      <c r="AD183" s="354"/>
    </row>
    <row r="184" spans="1:33" hidden="1" x14ac:dyDescent="0.3">
      <c r="F184" s="322"/>
      <c r="G184" s="444"/>
      <c r="H184" s="444"/>
      <c r="K184" s="435"/>
      <c r="L184" s="435"/>
      <c r="M184" s="435"/>
      <c r="N184" s="435"/>
      <c r="O184" s="435"/>
      <c r="P184" s="435"/>
      <c r="Q184" s="435"/>
      <c r="R184" s="443"/>
      <c r="S184" s="443"/>
      <c r="T184" s="443"/>
      <c r="U184" s="443"/>
      <c r="V184" s="435"/>
      <c r="W184" s="443"/>
      <c r="X184" s="443"/>
      <c r="Y184" s="435"/>
      <c r="Z184" s="446"/>
      <c r="AA184" s="443"/>
      <c r="AB184" s="446"/>
      <c r="AC184" s="446"/>
      <c r="AD184" s="447"/>
    </row>
    <row r="185" spans="1:33" hidden="1" x14ac:dyDescent="0.3">
      <c r="F185" s="322"/>
      <c r="G185" s="444"/>
      <c r="H185" s="444"/>
      <c r="K185" s="435"/>
      <c r="L185" s="448">
        <f t="shared" ref="L185:T185" si="72">SUM(L8:L183)</f>
        <v>1909592166</v>
      </c>
      <c r="M185" s="435">
        <f t="shared" si="72"/>
        <v>329419424</v>
      </c>
      <c r="N185" s="448">
        <f t="shared" si="72"/>
        <v>992955795</v>
      </c>
      <c r="O185" s="435">
        <f t="shared" si="72"/>
        <v>15044204.999999974</v>
      </c>
      <c r="P185" s="448">
        <f t="shared" si="72"/>
        <v>4000000</v>
      </c>
      <c r="Q185" s="435">
        <f t="shared" si="72"/>
        <v>0</v>
      </c>
      <c r="R185" s="435">
        <f t="shared" si="72"/>
        <v>2120025</v>
      </c>
      <c r="S185" s="435">
        <f t="shared" si="72"/>
        <v>3315469</v>
      </c>
      <c r="T185" s="435">
        <f t="shared" si="72"/>
        <v>0</v>
      </c>
      <c r="U185" s="443"/>
      <c r="V185" s="435"/>
      <c r="W185" s="443"/>
      <c r="X185" s="443"/>
      <c r="Y185" s="435"/>
      <c r="Z185" s="446"/>
      <c r="AA185" s="443"/>
      <c r="AB185" s="446"/>
      <c r="AC185" s="446"/>
      <c r="AD185" s="449"/>
    </row>
    <row r="186" spans="1:33" hidden="1" x14ac:dyDescent="0.3">
      <c r="E186" s="450"/>
      <c r="F186" s="322"/>
      <c r="G186" s="444"/>
      <c r="H186" s="444"/>
      <c r="K186" s="435"/>
      <c r="L186" s="435"/>
      <c r="M186" s="435"/>
      <c r="N186" s="435"/>
      <c r="O186" s="435"/>
      <c r="P186" s="435"/>
      <c r="Q186" s="435"/>
      <c r="R186" s="435"/>
      <c r="S186" s="435"/>
      <c r="T186" s="435"/>
      <c r="U186" s="435"/>
      <c r="V186" s="435"/>
      <c r="W186" s="435"/>
      <c r="X186" s="435">
        <f t="shared" ref="X186:AD186" si="73">SUBTOTAL(9,X8:X93)</f>
        <v>743415640.76999998</v>
      </c>
      <c r="Y186" s="435">
        <f t="shared" si="73"/>
        <v>451232362</v>
      </c>
      <c r="Z186" s="435">
        <f t="shared" si="73"/>
        <v>41910494.999999911</v>
      </c>
      <c r="AA186" s="435">
        <f t="shared" si="73"/>
        <v>342977108</v>
      </c>
      <c r="AB186" s="435">
        <f t="shared" si="73"/>
        <v>4000000</v>
      </c>
      <c r="AC186" s="435">
        <f t="shared" si="73"/>
        <v>0</v>
      </c>
      <c r="AD186" s="444">
        <f t="shared" si="73"/>
        <v>2099150</v>
      </c>
    </row>
    <row r="187" spans="1:33" hidden="1" x14ac:dyDescent="0.3">
      <c r="A187" s="313"/>
      <c r="B187" s="313"/>
      <c r="C187" s="313"/>
      <c r="D187" s="313"/>
      <c r="E187" s="449"/>
      <c r="F187" s="449"/>
      <c r="G187" s="449"/>
      <c r="H187" s="449"/>
      <c r="I187" s="451"/>
      <c r="J187" s="313"/>
      <c r="K187" s="446"/>
      <c r="L187" s="448">
        <f>SUBTOTAL(9,L124:L179)</f>
        <v>357491270</v>
      </c>
      <c r="M187" s="435">
        <f t="shared" ref="M187:P187" si="74">SUBTOTAL(9,M124:M179)</f>
        <v>9737130</v>
      </c>
      <c r="N187" s="448">
        <f t="shared" si="74"/>
        <v>245843935</v>
      </c>
      <c r="O187" s="435">
        <f t="shared" si="74"/>
        <v>6156065.0000000037</v>
      </c>
      <c r="P187" s="435">
        <f t="shared" si="74"/>
        <v>0</v>
      </c>
      <c r="Q187" s="452"/>
      <c r="R187" s="452"/>
      <c r="S187" s="452"/>
      <c r="T187" s="452"/>
      <c r="U187" s="452"/>
      <c r="V187" s="452"/>
      <c r="W187" s="452"/>
      <c r="X187" s="452"/>
      <c r="Y187" s="452"/>
      <c r="Z187" s="452"/>
      <c r="AA187" s="435"/>
      <c r="AB187" s="452"/>
      <c r="AC187" s="452"/>
      <c r="AD187" s="453"/>
    </row>
    <row r="188" spans="1:33" s="454" customFormat="1" hidden="1" x14ac:dyDescent="0.3">
      <c r="D188" s="313"/>
      <c r="E188" s="455"/>
      <c r="F188" s="313"/>
      <c r="G188" s="313"/>
      <c r="H188" s="313"/>
      <c r="I188" s="313"/>
      <c r="J188" s="313"/>
      <c r="K188" s="456"/>
      <c r="L188" s="452"/>
      <c r="M188" s="452"/>
      <c r="N188" s="452"/>
      <c r="O188" s="452"/>
      <c r="P188" s="452"/>
      <c r="Q188" s="457"/>
      <c r="R188" s="452"/>
      <c r="S188" s="452"/>
      <c r="T188" s="452"/>
      <c r="U188" s="452"/>
      <c r="V188" s="452"/>
      <c r="W188" s="452"/>
      <c r="X188" s="452"/>
      <c r="Y188" s="452"/>
      <c r="Z188" s="452"/>
      <c r="AA188" s="435"/>
      <c r="AB188" s="452"/>
      <c r="AC188" s="452"/>
      <c r="AD188" s="453"/>
    </row>
    <row r="189" spans="1:33" ht="39.75" hidden="1" customHeight="1" x14ac:dyDescent="0.3">
      <c r="A189" s="313"/>
      <c r="B189" s="313"/>
      <c r="C189" s="313"/>
      <c r="D189" s="313"/>
      <c r="E189" s="449"/>
      <c r="F189" s="313"/>
      <c r="G189" s="313"/>
      <c r="H189" s="313"/>
      <c r="I189" s="313"/>
      <c r="J189" s="313"/>
      <c r="K189" s="458"/>
      <c r="L189" s="446"/>
      <c r="M189" s="458"/>
      <c r="N189" s="459"/>
      <c r="O189" s="459"/>
      <c r="P189" s="446"/>
      <c r="Q189" s="446"/>
      <c r="R189" s="446"/>
      <c r="S189" s="446"/>
      <c r="T189" s="446"/>
      <c r="U189" s="446"/>
      <c r="V189" s="452"/>
      <c r="W189" s="446"/>
      <c r="X189" s="456"/>
      <c r="Y189" s="459"/>
      <c r="Z189" s="459"/>
      <c r="AA189" s="435"/>
      <c r="AB189" s="446"/>
      <c r="AC189" s="446"/>
      <c r="AD189" s="449"/>
    </row>
    <row r="190" spans="1:33" s="460" customFormat="1" ht="33.75" customHeight="1" x14ac:dyDescent="0.3">
      <c r="E190" s="461"/>
      <c r="F190" s="313"/>
      <c r="G190" s="313"/>
      <c r="H190" s="313"/>
      <c r="I190" s="313"/>
      <c r="K190" s="459"/>
      <c r="L190" s="459"/>
      <c r="M190" s="459"/>
      <c r="N190" s="459"/>
      <c r="O190" s="459"/>
      <c r="P190" s="459"/>
      <c r="Q190" s="459"/>
      <c r="R190" s="459"/>
      <c r="S190" s="459"/>
      <c r="T190" s="459"/>
      <c r="U190" s="459"/>
      <c r="V190" s="459"/>
      <c r="W190" s="459"/>
      <c r="X190" s="459"/>
      <c r="Y190" s="459"/>
      <c r="Z190" s="459"/>
      <c r="AA190" s="459"/>
      <c r="AB190" s="459"/>
      <c r="AC190" s="459"/>
      <c r="AD190" s="459"/>
    </row>
    <row r="191" spans="1:33" s="536" customFormat="1" ht="32.25" customHeight="1" x14ac:dyDescent="0.3">
      <c r="A191" s="532"/>
      <c r="B191" s="533"/>
      <c r="C191" s="533"/>
      <c r="D191" s="534"/>
      <c r="E191" s="535"/>
      <c r="F191" s="445">
        <f>SUBTOTAL(9,F124:F179)</f>
        <v>367228400</v>
      </c>
      <c r="G191" s="445">
        <f t="shared" ref="G191:I191" si="75">SUBTOTAL(9,G124:G179)</f>
        <v>252000000</v>
      </c>
      <c r="H191" s="445">
        <f t="shared" si="75"/>
        <v>0</v>
      </c>
      <c r="I191" s="445">
        <f t="shared" si="75"/>
        <v>619228400</v>
      </c>
      <c r="J191" s="445"/>
      <c r="K191" s="445"/>
      <c r="L191" s="445"/>
      <c r="M191" s="445"/>
      <c r="N191" s="445"/>
      <c r="O191" s="445"/>
      <c r="P191" s="445"/>
      <c r="Q191" s="445"/>
      <c r="R191" s="445"/>
      <c r="S191" s="445"/>
      <c r="T191" s="445"/>
      <c r="U191" s="445"/>
      <c r="V191" s="445"/>
      <c r="W191" s="445"/>
      <c r="X191" s="445"/>
      <c r="Y191" s="445"/>
      <c r="Z191" s="445"/>
      <c r="AA191" s="445"/>
      <c r="AB191" s="445"/>
      <c r="AC191" s="445"/>
      <c r="AD191" s="445"/>
      <c r="AE191" s="445"/>
      <c r="AF191" s="445"/>
      <c r="AG191" s="445">
        <f t="shared" ref="AG191" si="76">SUBTOTAL(9,AG9:AG86)</f>
        <v>115</v>
      </c>
    </row>
    <row r="192" spans="1:33" ht="36.75" customHeight="1" x14ac:dyDescent="0.3">
      <c r="C192" s="435"/>
      <c r="D192" s="435"/>
      <c r="E192" s="435"/>
      <c r="K192" s="435"/>
      <c r="L192" s="435"/>
      <c r="M192" s="435"/>
      <c r="N192" s="531"/>
      <c r="O192" s="435"/>
      <c r="P192" s="435"/>
      <c r="Q192" s="435"/>
      <c r="R192" s="443"/>
      <c r="S192" s="443"/>
      <c r="T192" s="443"/>
      <c r="U192" s="443"/>
      <c r="V192" s="435"/>
      <c r="W192" s="462"/>
      <c r="X192" s="462"/>
      <c r="Y192" s="435"/>
      <c r="Z192" s="459"/>
      <c r="AA192" s="435"/>
      <c r="AB192" s="446"/>
      <c r="AC192" s="446"/>
      <c r="AD192" s="449"/>
    </row>
    <row r="193" spans="4:30" ht="38.25" customHeight="1" x14ac:dyDescent="0.3">
      <c r="D193" s="445"/>
      <c r="E193" s="435"/>
      <c r="K193" s="435"/>
      <c r="L193" s="435"/>
      <c r="M193" s="435"/>
      <c r="N193" s="435"/>
      <c r="O193" s="435"/>
      <c r="P193" s="435"/>
      <c r="Q193" s="435"/>
      <c r="R193" s="443"/>
      <c r="S193" s="443"/>
      <c r="T193" s="520"/>
      <c r="U193" s="520"/>
      <c r="V193" s="435"/>
      <c r="W193" s="520"/>
      <c r="X193" s="520"/>
      <c r="Y193" s="435"/>
      <c r="Z193" s="459"/>
      <c r="AA193" s="435"/>
      <c r="AB193" s="446"/>
      <c r="AC193" s="446"/>
      <c r="AD193" s="449"/>
    </row>
    <row r="194" spans="4:30" x14ac:dyDescent="0.3">
      <c r="D194" s="445"/>
      <c r="E194" s="435"/>
      <c r="K194" s="435"/>
      <c r="L194" s="435"/>
      <c r="M194" s="435"/>
      <c r="N194" s="435"/>
      <c r="O194" s="435"/>
      <c r="P194" s="435"/>
      <c r="Q194" s="435"/>
      <c r="R194" s="443"/>
      <c r="S194" s="443"/>
      <c r="T194" s="520"/>
      <c r="U194" s="443"/>
      <c r="V194" s="435"/>
      <c r="W194" s="520"/>
      <c r="X194" s="520"/>
      <c r="Y194" s="435"/>
      <c r="Z194" s="459"/>
      <c r="AA194" s="435"/>
      <c r="AB194" s="446"/>
      <c r="AC194" s="446"/>
      <c r="AD194" s="449"/>
    </row>
    <row r="195" spans="4:30" x14ac:dyDescent="0.3">
      <c r="D195" s="445"/>
      <c r="E195" s="435"/>
      <c r="K195" s="435"/>
      <c r="L195" s="435"/>
      <c r="M195" s="435"/>
      <c r="N195" s="435"/>
      <c r="O195" s="435"/>
      <c r="P195" s="435"/>
      <c r="Q195" s="435"/>
      <c r="R195" s="443"/>
      <c r="S195" s="443"/>
      <c r="T195" s="443"/>
      <c r="U195" s="443"/>
      <c r="V195" s="435"/>
      <c r="W195" s="443"/>
      <c r="X195" s="520"/>
      <c r="Y195" s="435"/>
      <c r="Z195" s="459"/>
      <c r="AA195" s="435"/>
      <c r="AB195" s="446"/>
      <c r="AC195" s="446"/>
      <c r="AD195" s="449"/>
    </row>
    <row r="196" spans="4:30" x14ac:dyDescent="0.3">
      <c r="D196" s="445"/>
      <c r="E196" s="435"/>
      <c r="K196" s="435"/>
      <c r="L196" s="435"/>
      <c r="M196" s="435"/>
      <c r="N196" s="435"/>
      <c r="O196" s="435"/>
      <c r="P196" s="435"/>
      <c r="Q196" s="435"/>
      <c r="R196" s="443"/>
      <c r="S196" s="443"/>
      <c r="T196" s="443"/>
      <c r="U196" s="443"/>
      <c r="V196" s="435"/>
      <c r="W196" s="443"/>
      <c r="X196" s="443"/>
      <c r="Y196" s="435"/>
      <c r="Z196" s="459"/>
      <c r="AA196" s="435"/>
      <c r="AB196" s="446"/>
      <c r="AC196" s="446"/>
      <c r="AD196" s="449"/>
    </row>
    <row r="197" spans="4:30" x14ac:dyDescent="0.3">
      <c r="K197" s="435"/>
      <c r="L197" s="435"/>
      <c r="M197" s="435"/>
      <c r="N197" s="435"/>
      <c r="O197" s="435"/>
      <c r="P197" s="435"/>
      <c r="Q197" s="435"/>
      <c r="R197" s="443"/>
      <c r="S197" s="443"/>
      <c r="T197" s="443"/>
      <c r="U197" s="443"/>
      <c r="V197" s="435"/>
      <c r="W197" s="443"/>
      <c r="X197" s="443"/>
      <c r="Y197" s="435"/>
      <c r="Z197" s="459"/>
      <c r="AA197" s="435"/>
      <c r="AB197" s="446"/>
      <c r="AC197" s="446"/>
      <c r="AD197" s="449"/>
    </row>
    <row r="198" spans="4:30" x14ac:dyDescent="0.3">
      <c r="K198" s="435"/>
      <c r="L198" s="435"/>
      <c r="M198" s="435"/>
      <c r="N198" s="435"/>
      <c r="O198" s="435"/>
      <c r="P198" s="435"/>
      <c r="Q198" s="435"/>
      <c r="R198" s="443"/>
      <c r="S198" s="443"/>
      <c r="T198" s="443"/>
      <c r="U198" s="443"/>
      <c r="V198" s="435"/>
      <c r="W198" s="443"/>
      <c r="X198" s="443"/>
      <c r="Y198" s="435"/>
      <c r="Z198" s="459"/>
      <c r="AA198" s="435"/>
      <c r="AB198" s="446"/>
      <c r="AC198" s="446"/>
      <c r="AD198" s="449"/>
    </row>
    <row r="199" spans="4:30" x14ac:dyDescent="0.3">
      <c r="K199" s="435"/>
      <c r="L199" s="435"/>
      <c r="M199" s="435"/>
      <c r="N199" s="435"/>
      <c r="O199" s="435"/>
      <c r="P199" s="435"/>
      <c r="Q199" s="435"/>
      <c r="R199" s="443"/>
      <c r="S199" s="443"/>
      <c r="T199" s="443"/>
      <c r="U199" s="443"/>
      <c r="V199" s="435"/>
      <c r="W199" s="443"/>
      <c r="X199" s="443"/>
      <c r="Y199" s="435"/>
      <c r="Z199" s="459"/>
      <c r="AA199" s="435"/>
      <c r="AB199" s="446"/>
      <c r="AC199" s="446"/>
      <c r="AD199" s="449"/>
    </row>
    <row r="200" spans="4:30" x14ac:dyDescent="0.3">
      <c r="K200" s="435"/>
      <c r="L200" s="435"/>
      <c r="M200" s="435"/>
      <c r="N200" s="435"/>
      <c r="O200" s="435"/>
      <c r="P200" s="435"/>
      <c r="Q200" s="435"/>
      <c r="R200" s="443"/>
      <c r="S200" s="443"/>
      <c r="T200" s="443"/>
      <c r="U200" s="443"/>
      <c r="V200" s="435"/>
      <c r="W200" s="443"/>
      <c r="X200" s="443"/>
      <c r="Y200" s="435"/>
      <c r="Z200" s="459"/>
      <c r="AA200" s="435"/>
      <c r="AB200" s="446"/>
      <c r="AC200" s="446"/>
      <c r="AD200" s="449"/>
    </row>
    <row r="201" spans="4:30" x14ac:dyDescent="0.3">
      <c r="K201" s="435"/>
      <c r="L201" s="435"/>
      <c r="M201" s="435"/>
      <c r="N201" s="435"/>
      <c r="O201" s="435"/>
      <c r="P201" s="435"/>
      <c r="Q201" s="435"/>
      <c r="R201" s="443"/>
      <c r="S201" s="443"/>
      <c r="T201" s="443"/>
      <c r="U201" s="443"/>
      <c r="V201" s="435"/>
      <c r="W201" s="520"/>
      <c r="X201" s="443"/>
      <c r="Y201" s="435"/>
      <c r="Z201" s="459"/>
      <c r="AA201" s="435"/>
      <c r="AB201" s="446"/>
      <c r="AC201" s="446"/>
      <c r="AD201" s="449"/>
    </row>
    <row r="202" spans="4:30" x14ac:dyDescent="0.3">
      <c r="K202" s="435"/>
      <c r="L202" s="435"/>
      <c r="M202" s="435"/>
      <c r="N202" s="435"/>
      <c r="O202" s="435"/>
      <c r="P202" s="435"/>
      <c r="Q202" s="435"/>
      <c r="R202" s="443"/>
      <c r="S202" s="443"/>
      <c r="T202" s="443"/>
      <c r="U202" s="443"/>
      <c r="V202" s="435"/>
      <c r="W202" s="443"/>
      <c r="X202" s="443"/>
      <c r="Y202" s="435"/>
      <c r="Z202" s="459"/>
      <c r="AA202" s="435"/>
      <c r="AB202" s="446"/>
      <c r="AC202" s="446"/>
      <c r="AD202" s="449"/>
    </row>
    <row r="203" spans="4:30" x14ac:dyDescent="0.3">
      <c r="K203" s="435"/>
      <c r="L203" s="435"/>
      <c r="M203" s="435"/>
      <c r="N203" s="435"/>
      <c r="O203" s="435"/>
      <c r="P203" s="435"/>
      <c r="Q203" s="435"/>
      <c r="R203" s="443"/>
      <c r="S203" s="443"/>
      <c r="T203" s="443"/>
      <c r="U203" s="443"/>
      <c r="V203" s="435"/>
      <c r="W203" s="443"/>
      <c r="X203" s="443"/>
      <c r="Y203" s="435"/>
      <c r="Z203" s="459"/>
      <c r="AA203" s="435"/>
      <c r="AB203" s="446"/>
      <c r="AC203" s="446"/>
      <c r="AD203" s="449"/>
    </row>
    <row r="204" spans="4:30" x14ac:dyDescent="0.3">
      <c r="K204" s="435"/>
      <c r="L204" s="435"/>
      <c r="M204" s="435"/>
      <c r="N204" s="435"/>
      <c r="O204" s="435"/>
      <c r="P204" s="435"/>
      <c r="Q204" s="435"/>
      <c r="R204" s="443"/>
      <c r="S204" s="443"/>
      <c r="T204" s="443"/>
      <c r="U204" s="443"/>
      <c r="V204" s="435"/>
      <c r="W204" s="443"/>
      <c r="X204" s="443"/>
      <c r="Y204" s="435"/>
      <c r="Z204" s="459"/>
      <c r="AA204" s="435"/>
      <c r="AB204" s="446"/>
      <c r="AC204" s="446"/>
      <c r="AD204" s="449"/>
    </row>
    <row r="205" spans="4:30" x14ac:dyDescent="0.3">
      <c r="K205" s="435"/>
      <c r="L205" s="435"/>
      <c r="M205" s="435"/>
      <c r="N205" s="435"/>
      <c r="O205" s="435"/>
      <c r="P205" s="435"/>
      <c r="Q205" s="435"/>
      <c r="R205" s="443"/>
      <c r="S205" s="443"/>
      <c r="T205" s="443"/>
      <c r="U205" s="443"/>
      <c r="V205" s="435"/>
      <c r="W205" s="443"/>
      <c r="X205" s="443"/>
      <c r="Y205" s="435"/>
      <c r="Z205" s="459"/>
      <c r="AA205" s="435"/>
      <c r="AB205" s="446"/>
      <c r="AC205" s="446"/>
      <c r="AD205" s="449"/>
    </row>
    <row r="206" spans="4:30" x14ac:dyDescent="0.3">
      <c r="K206" s="435"/>
      <c r="L206" s="435"/>
      <c r="M206" s="435"/>
      <c r="N206" s="435"/>
      <c r="O206" s="435"/>
      <c r="P206" s="435"/>
      <c r="Q206" s="435"/>
      <c r="R206" s="443"/>
      <c r="S206" s="443"/>
      <c r="T206" s="443"/>
      <c r="U206" s="443"/>
      <c r="V206" s="435"/>
      <c r="W206" s="443"/>
      <c r="X206" s="443"/>
      <c r="Y206" s="435"/>
      <c r="Z206" s="459"/>
      <c r="AA206" s="435"/>
      <c r="AB206" s="446"/>
      <c r="AC206" s="446"/>
      <c r="AD206" s="449"/>
    </row>
    <row r="207" spans="4:30" x14ac:dyDescent="0.3">
      <c r="K207" s="435"/>
      <c r="L207" s="435"/>
      <c r="M207" s="435"/>
      <c r="N207" s="435"/>
      <c r="O207" s="435"/>
      <c r="P207" s="435"/>
      <c r="Q207" s="435"/>
      <c r="R207" s="443"/>
      <c r="S207" s="443"/>
      <c r="T207" s="443"/>
      <c r="U207" s="443"/>
      <c r="V207" s="435"/>
      <c r="W207" s="443"/>
      <c r="X207" s="443"/>
      <c r="Y207" s="435"/>
      <c r="Z207" s="459"/>
      <c r="AA207" s="435"/>
      <c r="AB207" s="446"/>
      <c r="AC207" s="446"/>
      <c r="AD207" s="449"/>
    </row>
    <row r="208" spans="4:30" x14ac:dyDescent="0.3">
      <c r="K208" s="435"/>
      <c r="L208" s="435"/>
      <c r="M208" s="435"/>
      <c r="N208" s="435"/>
      <c r="O208" s="435"/>
      <c r="P208" s="435"/>
      <c r="Q208" s="435"/>
      <c r="R208" s="443"/>
      <c r="S208" s="443"/>
      <c r="T208" s="443"/>
      <c r="U208" s="443"/>
      <c r="V208" s="435"/>
      <c r="W208" s="443"/>
      <c r="X208" s="443"/>
      <c r="Y208" s="435"/>
      <c r="Z208" s="459"/>
      <c r="AA208" s="435"/>
      <c r="AB208" s="446"/>
      <c r="AC208" s="446"/>
      <c r="AD208" s="449"/>
    </row>
    <row r="209" spans="11:30" x14ac:dyDescent="0.3">
      <c r="K209" s="435"/>
      <c r="L209" s="435"/>
      <c r="M209" s="435"/>
      <c r="N209" s="435"/>
      <c r="O209" s="435"/>
      <c r="P209" s="435"/>
      <c r="Q209" s="435"/>
      <c r="R209" s="443"/>
      <c r="S209" s="443"/>
      <c r="T209" s="443"/>
      <c r="U209" s="443"/>
      <c r="V209" s="435"/>
      <c r="W209" s="443"/>
      <c r="X209" s="443"/>
      <c r="Y209" s="435"/>
      <c r="Z209" s="459"/>
      <c r="AA209" s="435"/>
      <c r="AB209" s="446"/>
      <c r="AC209" s="446"/>
      <c r="AD209" s="449"/>
    </row>
    <row r="210" spans="11:30" x14ac:dyDescent="0.3">
      <c r="K210" s="435"/>
      <c r="L210" s="435"/>
      <c r="M210" s="435"/>
      <c r="N210" s="435"/>
      <c r="O210" s="435"/>
      <c r="P210" s="435"/>
      <c r="Q210" s="435"/>
      <c r="R210" s="443"/>
      <c r="S210" s="443"/>
      <c r="T210" s="443"/>
      <c r="U210" s="443"/>
      <c r="V210" s="435"/>
      <c r="W210" s="443"/>
      <c r="X210" s="443"/>
      <c r="Y210" s="435"/>
      <c r="Z210" s="459"/>
      <c r="AA210" s="435"/>
      <c r="AB210" s="446"/>
      <c r="AC210" s="446"/>
      <c r="AD210" s="449"/>
    </row>
    <row r="211" spans="11:30" x14ac:dyDescent="0.3">
      <c r="K211" s="435"/>
      <c r="L211" s="435"/>
      <c r="M211" s="435"/>
      <c r="N211" s="435"/>
      <c r="O211" s="435"/>
      <c r="P211" s="435"/>
      <c r="Q211" s="435"/>
      <c r="R211" s="443"/>
      <c r="S211" s="443"/>
      <c r="T211" s="443"/>
      <c r="U211" s="443"/>
      <c r="V211" s="435"/>
      <c r="W211" s="443"/>
      <c r="X211" s="443"/>
      <c r="Y211" s="435"/>
      <c r="Z211" s="459"/>
      <c r="AA211" s="435"/>
      <c r="AB211" s="446"/>
      <c r="AC211" s="446"/>
      <c r="AD211" s="449"/>
    </row>
    <row r="212" spans="11:30" x14ac:dyDescent="0.3">
      <c r="K212" s="435"/>
      <c r="L212" s="435"/>
      <c r="M212" s="435"/>
      <c r="N212" s="435"/>
      <c r="O212" s="435"/>
      <c r="P212" s="435"/>
      <c r="Q212" s="435"/>
      <c r="R212" s="443"/>
      <c r="S212" s="443"/>
      <c r="T212" s="443"/>
      <c r="U212" s="443"/>
      <c r="V212" s="435"/>
      <c r="W212" s="443"/>
      <c r="X212" s="443"/>
      <c r="Y212" s="435"/>
      <c r="Z212" s="459"/>
      <c r="AA212" s="435"/>
      <c r="AB212" s="446"/>
      <c r="AC212" s="446"/>
      <c r="AD212" s="449"/>
    </row>
    <row r="213" spans="11:30" x14ac:dyDescent="0.3">
      <c r="K213" s="435"/>
      <c r="L213" s="435"/>
      <c r="M213" s="435"/>
      <c r="N213" s="435"/>
      <c r="O213" s="435"/>
      <c r="P213" s="435"/>
      <c r="Q213" s="435"/>
      <c r="R213" s="443"/>
      <c r="S213" s="443"/>
      <c r="T213" s="443"/>
      <c r="U213" s="443"/>
      <c r="V213" s="435"/>
      <c r="W213" s="443"/>
      <c r="X213" s="443"/>
      <c r="Y213" s="435"/>
      <c r="Z213" s="459"/>
      <c r="AA213" s="435"/>
      <c r="AB213" s="446"/>
      <c r="AC213" s="446"/>
      <c r="AD213" s="449"/>
    </row>
  </sheetData>
  <mergeCells count="3">
    <mergeCell ref="D1:U2"/>
    <mergeCell ref="V1:AD1"/>
    <mergeCell ref="V2:AD2"/>
  </mergeCells>
  <conditionalFormatting sqref="E122">
    <cfRule type="duplicateValues" dxfId="96" priority="42"/>
  </conditionalFormatting>
  <conditionalFormatting sqref="A147">
    <cfRule type="duplicateValues" dxfId="95" priority="41"/>
  </conditionalFormatting>
  <conditionalFormatting sqref="E130">
    <cfRule type="duplicateValues" dxfId="94" priority="40"/>
  </conditionalFormatting>
  <conditionalFormatting sqref="E62">
    <cfRule type="duplicateValues" dxfId="93" priority="39"/>
  </conditionalFormatting>
  <conditionalFormatting sqref="E30">
    <cfRule type="duplicateValues" dxfId="92" priority="38"/>
  </conditionalFormatting>
  <conditionalFormatting sqref="E93 E33">
    <cfRule type="duplicateValues" dxfId="91" priority="37"/>
  </conditionalFormatting>
  <conditionalFormatting sqref="E161">
    <cfRule type="duplicateValues" dxfId="90" priority="36"/>
  </conditionalFormatting>
  <conditionalFormatting sqref="A179 A155:A156">
    <cfRule type="duplicateValues" dxfId="89" priority="43"/>
  </conditionalFormatting>
  <conditionalFormatting sqref="B179">
    <cfRule type="duplicateValues" dxfId="88" priority="35"/>
  </conditionalFormatting>
  <conditionalFormatting sqref="B147">
    <cfRule type="duplicateValues" dxfId="87" priority="33"/>
  </conditionalFormatting>
  <conditionalFormatting sqref="B155:B156">
    <cfRule type="duplicateValues" dxfId="86" priority="34"/>
  </conditionalFormatting>
  <conditionalFormatting sqref="E70">
    <cfRule type="duplicateValues" dxfId="85" priority="32"/>
  </conditionalFormatting>
  <conditionalFormatting sqref="E72:E75">
    <cfRule type="duplicateValues" dxfId="84" priority="30"/>
  </conditionalFormatting>
  <conditionalFormatting sqref="E72:E75">
    <cfRule type="duplicateValues" dxfId="83" priority="31"/>
  </conditionalFormatting>
  <conditionalFormatting sqref="E88">
    <cfRule type="duplicateValues" dxfId="82" priority="28"/>
  </conditionalFormatting>
  <conditionalFormatting sqref="E88">
    <cfRule type="duplicateValues" dxfId="81" priority="29"/>
  </conditionalFormatting>
  <conditionalFormatting sqref="E61">
    <cfRule type="duplicateValues" dxfId="80" priority="26"/>
  </conditionalFormatting>
  <conditionalFormatting sqref="E61">
    <cfRule type="duplicateValues" dxfId="79" priority="27"/>
  </conditionalFormatting>
  <conditionalFormatting sqref="E184:E186 E135:E138 E146:E153 E155:E168 E62:E71 E77 E1:E6 E89:E103 E172:E179 E79 E19:E42 E191 E170 E52:E60 E50 E8 E127:E131 E105:E123 E10:E16 E81:E87 E140:E143 E193:E1048576">
    <cfRule type="duplicateValues" dxfId="78" priority="44"/>
  </conditionalFormatting>
  <conditionalFormatting sqref="E184:E186 E135:E138 E123 E63:E71 E146:E153 E162:E168 E155:E160 E34:E42 E31:E32 E94:E103 E1:E6 E89:E92 E77 E172:E179 E79 E19:E29 E191 E170 E52:E60 E50 E8 E127:E131 E105:E121 E10:E16 E81:E87 E140:E143 E193:E1048576">
    <cfRule type="duplicateValues" dxfId="77" priority="45"/>
  </conditionalFormatting>
  <conditionalFormatting sqref="A180:A183">
    <cfRule type="duplicateValues" dxfId="76" priority="46"/>
  </conditionalFormatting>
  <conditionalFormatting sqref="B180:B181 B183">
    <cfRule type="duplicateValues" dxfId="75" priority="47"/>
  </conditionalFormatting>
  <conditionalFormatting sqref="E180:E183">
    <cfRule type="duplicateValues" dxfId="74" priority="48"/>
  </conditionalFormatting>
  <conditionalFormatting sqref="E180:E183">
    <cfRule type="duplicateValues" dxfId="73" priority="49"/>
  </conditionalFormatting>
  <conditionalFormatting sqref="B182">
    <cfRule type="duplicateValues" dxfId="72" priority="23"/>
  </conditionalFormatting>
  <conditionalFormatting sqref="E171">
    <cfRule type="duplicateValues" dxfId="71" priority="21"/>
  </conditionalFormatting>
  <conditionalFormatting sqref="E171">
    <cfRule type="duplicateValues" dxfId="70" priority="22"/>
  </conditionalFormatting>
  <conditionalFormatting sqref="E78">
    <cfRule type="duplicateValues" dxfId="69" priority="19"/>
  </conditionalFormatting>
  <conditionalFormatting sqref="E78">
    <cfRule type="duplicateValues" dxfId="68" priority="20"/>
  </conditionalFormatting>
  <conditionalFormatting sqref="E76">
    <cfRule type="duplicateValues" dxfId="67" priority="17"/>
  </conditionalFormatting>
  <conditionalFormatting sqref="E76">
    <cfRule type="duplicateValues" dxfId="66" priority="18"/>
  </conditionalFormatting>
  <conditionalFormatting sqref="E169">
    <cfRule type="duplicateValues" dxfId="65" priority="13"/>
  </conditionalFormatting>
  <conditionalFormatting sqref="E169">
    <cfRule type="duplicateValues" dxfId="64" priority="14"/>
  </conditionalFormatting>
  <conditionalFormatting sqref="E51">
    <cfRule type="duplicateValues" dxfId="63" priority="50"/>
  </conditionalFormatting>
  <conditionalFormatting sqref="E51">
    <cfRule type="duplicateValues" dxfId="62" priority="51"/>
  </conditionalFormatting>
  <conditionalFormatting sqref="E43:E49">
    <cfRule type="duplicateValues" dxfId="61" priority="11"/>
  </conditionalFormatting>
  <conditionalFormatting sqref="E43:E49">
    <cfRule type="duplicateValues" dxfId="60" priority="12"/>
  </conditionalFormatting>
  <conditionalFormatting sqref="B17:E17">
    <cfRule type="duplicateValues" dxfId="59" priority="444"/>
  </conditionalFormatting>
  <conditionalFormatting sqref="B17:E17">
    <cfRule type="duplicateValues" dxfId="58" priority="446"/>
  </conditionalFormatting>
  <conditionalFormatting sqref="B18:E18">
    <cfRule type="duplicateValues" dxfId="57" priority="9"/>
  </conditionalFormatting>
  <conditionalFormatting sqref="B18:E18">
    <cfRule type="duplicateValues" dxfId="56" priority="10"/>
  </conditionalFormatting>
  <conditionalFormatting sqref="E104">
    <cfRule type="duplicateValues" dxfId="55" priority="7"/>
  </conditionalFormatting>
  <conditionalFormatting sqref="E104">
    <cfRule type="duplicateValues" dxfId="54" priority="8"/>
  </conditionalFormatting>
  <conditionalFormatting sqref="E9">
    <cfRule type="duplicateValues" dxfId="53" priority="5"/>
  </conditionalFormatting>
  <conditionalFormatting sqref="E9">
    <cfRule type="duplicateValues" dxfId="52" priority="6"/>
  </conditionalFormatting>
  <conditionalFormatting sqref="E80">
    <cfRule type="duplicateValues" dxfId="51" priority="3"/>
  </conditionalFormatting>
  <conditionalFormatting sqref="E80">
    <cfRule type="duplicateValues" dxfId="50" priority="4"/>
  </conditionalFormatting>
  <conditionalFormatting sqref="E139">
    <cfRule type="duplicateValues" dxfId="49" priority="1"/>
  </conditionalFormatting>
  <conditionalFormatting sqref="E139">
    <cfRule type="duplicateValues" dxfId="48" priority="2"/>
  </conditionalFormatting>
  <dataValidations count="3">
    <dataValidation type="list" allowBlank="1" showInputMessage="1" showErrorMessage="1" sqref="K33 K91 K93 K86">
      <formula1>MODALIDAD</formula1>
    </dataValidation>
    <dataValidation type="list" allowBlank="1" showInputMessage="1" showErrorMessage="1" sqref="D19:D22 D8:D12 D39 D87:D89 D173 D56 D14 D96 D82 D84 D100:D101 D60:D62 D26:D30 D16 D50:D51">
      <formula1>META</formula1>
    </dataValidation>
    <dataValidation type="list" allowBlank="1" showInputMessage="1" showErrorMessage="1" sqref="J166:J174 J176:J183 J8:J164">
      <formula1>"INVERSIÓN,FUNCIONAMIENTO"</formula1>
    </dataValidation>
  </dataValidations>
  <pageMargins left="0.7" right="0.7" top="0.75" bottom="0.75" header="0.3" footer="0.3"/>
  <pageSetup scale="10"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211"/>
  <sheetViews>
    <sheetView tabSelected="1" topLeftCell="A6" zoomScale="30" zoomScaleNormal="30" zoomScaleSheetLayoutView="100" workbookViewId="0">
      <pane ySplit="2" topLeftCell="A8" activePane="bottomLeft" state="frozen"/>
      <selection activeCell="C6" sqref="C6"/>
      <selection pane="bottomLeft" activeCell="AI10" sqref="AI10"/>
    </sheetView>
  </sheetViews>
  <sheetFormatPr baseColWidth="10" defaultColWidth="41" defaultRowHeight="33" x14ac:dyDescent="0.25"/>
  <cols>
    <col min="1" max="1" width="84.85546875" style="279" customWidth="1"/>
    <col min="2" max="2" width="44.42578125" style="538" customWidth="1"/>
    <col min="3" max="3" width="26.140625" style="105" customWidth="1"/>
    <col min="4" max="6" width="50.85546875" style="105" customWidth="1"/>
    <col min="7" max="7" width="62.28515625" style="105" customWidth="1"/>
    <col min="8" max="8" width="82.42578125" style="105" customWidth="1"/>
    <col min="9" max="9" width="42.42578125" style="105" customWidth="1"/>
    <col min="10" max="10" width="112.28515625" style="299" customWidth="1"/>
    <col min="11" max="11" width="49.140625" style="281" customWidth="1"/>
    <col min="12" max="12" width="54.28515625" style="281" customWidth="1"/>
    <col min="13" max="13" width="39.28515625" style="281" customWidth="1"/>
    <col min="14" max="14" width="49.28515625" style="281" customWidth="1"/>
    <col min="15" max="20" width="33" style="281" customWidth="1"/>
    <col min="21" max="21" width="38.7109375" style="281" customWidth="1"/>
    <col min="22" max="22" width="37.28515625" style="281" customWidth="1"/>
    <col min="23" max="23" width="33" style="105" customWidth="1"/>
    <col min="24" max="24" width="45.5703125" style="105" customWidth="1"/>
    <col min="25" max="25" width="48" style="281" customWidth="1"/>
    <col min="26" max="26" width="40.7109375" style="281" customWidth="1"/>
    <col min="27" max="27" width="56.28515625" style="281" customWidth="1"/>
    <col min="28" max="28" width="47.85546875" style="105" customWidth="1"/>
    <col min="29" max="29" width="39.28515625" style="281" customWidth="1"/>
    <col min="30" max="30" width="42.140625" style="105" customWidth="1"/>
    <col min="31" max="31" width="27.85546875" style="105" customWidth="1"/>
    <col min="32" max="32" width="37.42578125" style="105" customWidth="1"/>
    <col min="33" max="33" width="32.5703125" style="139" customWidth="1"/>
    <col min="34" max="35" width="27.85546875" style="105" customWidth="1"/>
    <col min="36" max="36" width="31.28515625" style="105" customWidth="1"/>
    <col min="37" max="37" width="37" style="105" customWidth="1"/>
    <col min="38" max="39" width="36" style="105" customWidth="1"/>
    <col min="40" max="41" width="38.42578125" style="105" customWidth="1"/>
    <col min="42" max="42" width="38" style="105" customWidth="1"/>
    <col min="43" max="43" width="35.140625" style="105" hidden="1" customWidth="1"/>
    <col min="44" max="45" width="36" style="105" hidden="1" customWidth="1"/>
    <col min="46" max="46" width="213.140625" style="506" customWidth="1"/>
    <col min="47" max="16384" width="41" style="284"/>
  </cols>
  <sheetData>
    <row r="1" spans="1:46" x14ac:dyDescent="0.25">
      <c r="A1" s="105"/>
      <c r="B1" s="537"/>
      <c r="C1" s="106"/>
      <c r="D1" s="107"/>
      <c r="E1" s="467" t="s">
        <v>57</v>
      </c>
      <c r="F1" s="467"/>
      <c r="G1" s="467"/>
      <c r="H1" s="467"/>
      <c r="I1" s="467"/>
      <c r="J1" s="468"/>
      <c r="K1" s="469"/>
      <c r="L1" s="467"/>
      <c r="M1" s="467"/>
      <c r="N1" s="467"/>
      <c r="O1" s="467"/>
      <c r="P1" s="467"/>
      <c r="Q1" s="467"/>
      <c r="R1" s="470"/>
      <c r="S1" s="470"/>
      <c r="T1" s="470"/>
      <c r="U1" s="470"/>
      <c r="V1" s="470"/>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94"/>
    </row>
    <row r="2" spans="1:46" x14ac:dyDescent="0.25">
      <c r="A2" s="105"/>
      <c r="D2" s="108"/>
      <c r="E2" s="467"/>
      <c r="F2" s="467"/>
      <c r="G2" s="467"/>
      <c r="H2" s="467"/>
      <c r="I2" s="467"/>
      <c r="J2" s="468"/>
      <c r="K2" s="469"/>
      <c r="L2" s="467"/>
      <c r="M2" s="467"/>
      <c r="N2" s="467"/>
      <c r="O2" s="467"/>
      <c r="P2" s="467"/>
      <c r="Q2" s="467"/>
      <c r="R2" s="470"/>
      <c r="S2" s="470"/>
      <c r="T2" s="470"/>
      <c r="U2" s="470"/>
      <c r="V2" s="470"/>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94"/>
    </row>
    <row r="3" spans="1:46" ht="33.75" x14ac:dyDescent="0.25">
      <c r="A3" s="105"/>
      <c r="B3" s="539"/>
      <c r="C3" s="467"/>
      <c r="D3" s="108"/>
      <c r="E3" s="467"/>
      <c r="F3" s="467"/>
      <c r="G3" s="467"/>
      <c r="H3" s="467"/>
      <c r="I3" s="467"/>
      <c r="J3" s="285" t="s">
        <v>327</v>
      </c>
      <c r="K3" s="470">
        <v>1256657732</v>
      </c>
      <c r="L3" s="470">
        <v>493142857</v>
      </c>
      <c r="M3" s="470">
        <v>4000000</v>
      </c>
      <c r="N3" s="470">
        <f>K3+K4+K5+L3+L4+L5+M3</f>
        <v>2912958589</v>
      </c>
      <c r="O3" s="470"/>
      <c r="P3" s="470"/>
      <c r="Q3" s="470"/>
      <c r="R3" s="470"/>
      <c r="S3" s="470"/>
      <c r="T3" s="470"/>
      <c r="U3" s="470"/>
      <c r="V3" s="470"/>
      <c r="W3" s="467"/>
      <c r="X3" s="467"/>
      <c r="Y3" s="470"/>
      <c r="Z3" s="470"/>
      <c r="AA3" s="470"/>
      <c r="AB3" s="467"/>
      <c r="AC3" s="470"/>
      <c r="AD3" s="467"/>
      <c r="AE3" s="467"/>
      <c r="AF3" s="467"/>
      <c r="AG3" s="110"/>
      <c r="AH3" s="467"/>
      <c r="AI3" s="467"/>
      <c r="AJ3" s="467"/>
      <c r="AK3" s="467"/>
      <c r="AL3" s="467"/>
      <c r="AM3" s="467"/>
      <c r="AN3" s="467"/>
      <c r="AO3" s="467"/>
      <c r="AP3" s="467"/>
      <c r="AQ3" s="467"/>
      <c r="AR3" s="467"/>
      <c r="AS3" s="467"/>
      <c r="AT3" s="494"/>
    </row>
    <row r="4" spans="1:46" ht="33.75" x14ac:dyDescent="0.25">
      <c r="A4" s="105"/>
      <c r="B4" s="539"/>
      <c r="C4" s="467"/>
      <c r="D4" s="108"/>
      <c r="E4" s="467"/>
      <c r="F4" s="467"/>
      <c r="G4" s="467"/>
      <c r="H4" s="467"/>
      <c r="I4" s="467"/>
      <c r="J4" s="285" t="s">
        <v>328</v>
      </c>
      <c r="K4" s="470">
        <v>274300857</v>
      </c>
      <c r="L4" s="470">
        <v>262857143</v>
      </c>
      <c r="M4" s="470"/>
      <c r="N4" s="470"/>
      <c r="O4" s="470"/>
      <c r="P4" s="470"/>
      <c r="Q4" s="470"/>
      <c r="R4" s="470"/>
      <c r="S4" s="470"/>
      <c r="T4" s="470"/>
      <c r="U4" s="470"/>
      <c r="V4" s="470"/>
      <c r="W4" s="467"/>
      <c r="X4" s="467"/>
      <c r="Y4" s="470"/>
      <c r="Z4" s="470"/>
      <c r="AA4" s="470"/>
      <c r="AB4" s="467"/>
      <c r="AC4" s="470"/>
      <c r="AD4" s="467"/>
      <c r="AE4" s="467"/>
      <c r="AF4" s="467"/>
      <c r="AG4" s="110"/>
      <c r="AH4" s="467"/>
      <c r="AI4" s="467"/>
      <c r="AJ4" s="467"/>
      <c r="AK4" s="467"/>
      <c r="AL4" s="467"/>
      <c r="AM4" s="467"/>
      <c r="AN4" s="467"/>
      <c r="AO4" s="467"/>
      <c r="AP4" s="467"/>
      <c r="AQ4" s="467"/>
      <c r="AR4" s="467"/>
      <c r="AS4" s="467"/>
      <c r="AT4" s="494"/>
    </row>
    <row r="5" spans="1:46" ht="33.75" x14ac:dyDescent="0.25">
      <c r="A5" s="105"/>
      <c r="B5" s="539"/>
      <c r="C5" s="467"/>
      <c r="D5" s="108"/>
      <c r="E5" s="467"/>
      <c r="F5" s="467"/>
      <c r="G5" s="467"/>
      <c r="H5" s="467"/>
      <c r="I5" s="113"/>
      <c r="J5" s="285" t="s">
        <v>329</v>
      </c>
      <c r="K5" s="470">
        <v>370000000</v>
      </c>
      <c r="L5" s="470">
        <f>234000000+18000000</f>
        <v>252000000</v>
      </c>
      <c r="M5" s="470"/>
      <c r="N5" s="470"/>
      <c r="O5" s="470"/>
      <c r="P5" s="470"/>
      <c r="Q5" s="470"/>
      <c r="R5" s="470"/>
      <c r="S5" s="470"/>
      <c r="T5" s="470"/>
      <c r="U5" s="470"/>
      <c r="V5" s="470"/>
      <c r="W5" s="467"/>
      <c r="X5" s="467"/>
      <c r="Y5" s="470"/>
      <c r="Z5" s="470"/>
      <c r="AA5" s="470"/>
      <c r="AB5" s="467"/>
      <c r="AC5" s="470"/>
      <c r="AD5" s="467"/>
      <c r="AE5" s="467"/>
      <c r="AF5" s="467"/>
      <c r="AG5" s="110"/>
      <c r="AH5" s="467"/>
      <c r="AI5" s="467"/>
      <c r="AJ5" s="467"/>
      <c r="AK5" s="467"/>
      <c r="AL5" s="467"/>
      <c r="AM5" s="467"/>
      <c r="AN5" s="467"/>
      <c r="AO5" s="467"/>
      <c r="AP5" s="467"/>
      <c r="AQ5" s="467"/>
      <c r="AR5" s="467"/>
      <c r="AS5" s="467"/>
      <c r="AT5" s="494"/>
    </row>
    <row r="6" spans="1:46" x14ac:dyDescent="0.25">
      <c r="A6" s="105"/>
      <c r="B6" s="539"/>
      <c r="C6" s="467"/>
      <c r="D6" s="114"/>
      <c r="E6" s="467"/>
      <c r="F6" s="467"/>
      <c r="G6" s="467"/>
      <c r="H6" s="467"/>
      <c r="I6" s="113"/>
      <c r="J6" s="286"/>
      <c r="K6" s="115">
        <f>+SUBTOTAL(109,K8:K183)</f>
        <v>2239011590</v>
      </c>
      <c r="L6" s="115">
        <f>+SUBTOTAL(109,L8:L183)</f>
        <v>1008000001</v>
      </c>
      <c r="M6" s="115">
        <f>+SUBTOTAL(109,M8:M183)</f>
        <v>4000000</v>
      </c>
      <c r="N6" s="115">
        <f>+SUBTOTAL(109,N8:N183)</f>
        <v>3251011591</v>
      </c>
      <c r="O6" s="115"/>
      <c r="P6" s="115"/>
      <c r="Q6" s="115"/>
      <c r="R6" s="115"/>
      <c r="S6" s="115"/>
      <c r="T6" s="115"/>
      <c r="U6" s="115"/>
      <c r="V6" s="115"/>
      <c r="W6" s="115"/>
      <c r="X6" s="115">
        <f t="shared" ref="X6:Z6" si="0">+SUBTOTAL(109,X8:X183)</f>
        <v>2239011590</v>
      </c>
      <c r="Y6" s="115">
        <f t="shared" si="0"/>
        <v>1014602428</v>
      </c>
      <c r="Z6" s="115">
        <f t="shared" si="0"/>
        <v>4000000</v>
      </c>
      <c r="AA6" s="115">
        <f>+SUBTOTAL(109,AA8:AA183)</f>
        <v>3251011590</v>
      </c>
      <c r="AB6" s="467"/>
      <c r="AC6" s="470"/>
      <c r="AD6" s="467"/>
      <c r="AE6" s="467"/>
      <c r="AF6" s="467"/>
      <c r="AG6" s="110"/>
      <c r="AH6" s="467"/>
      <c r="AI6" s="467"/>
      <c r="AJ6" s="467"/>
      <c r="AK6" s="467"/>
      <c r="AL6" s="467"/>
      <c r="AM6" s="467"/>
      <c r="AN6" s="467"/>
      <c r="AO6" s="467"/>
      <c r="AP6" s="467"/>
      <c r="AQ6" s="467"/>
      <c r="AR6" s="467"/>
      <c r="AS6" s="467"/>
      <c r="AT6" s="494"/>
    </row>
    <row r="7" spans="1:46" ht="302.25" customHeight="1" x14ac:dyDescent="0.25">
      <c r="A7" s="116" t="s">
        <v>923</v>
      </c>
      <c r="B7" s="540" t="s">
        <v>99</v>
      </c>
      <c r="C7" s="117" t="s">
        <v>468</v>
      </c>
      <c r="D7" s="117" t="s">
        <v>1</v>
      </c>
      <c r="E7" s="117" t="s">
        <v>109</v>
      </c>
      <c r="F7" s="117" t="s">
        <v>100</v>
      </c>
      <c r="G7" s="117" t="s">
        <v>108</v>
      </c>
      <c r="H7" s="117" t="s">
        <v>42</v>
      </c>
      <c r="I7" s="117" t="s">
        <v>381</v>
      </c>
      <c r="J7" s="287" t="s">
        <v>0</v>
      </c>
      <c r="K7" s="119" t="s">
        <v>326</v>
      </c>
      <c r="L7" s="120" t="s">
        <v>407</v>
      </c>
      <c r="M7" s="121" t="s">
        <v>408</v>
      </c>
      <c r="N7" s="118" t="s">
        <v>73</v>
      </c>
      <c r="O7" s="119" t="s">
        <v>670</v>
      </c>
      <c r="P7" s="120" t="s">
        <v>671</v>
      </c>
      <c r="Q7" s="121" t="s">
        <v>672</v>
      </c>
      <c r="R7" s="119" t="s">
        <v>673</v>
      </c>
      <c r="S7" s="120" t="s">
        <v>674</v>
      </c>
      <c r="T7" s="301" t="s">
        <v>675</v>
      </c>
      <c r="U7" s="119" t="s">
        <v>676</v>
      </c>
      <c r="V7" s="120" t="s">
        <v>677</v>
      </c>
      <c r="W7" s="121" t="s">
        <v>678</v>
      </c>
      <c r="X7" s="119" t="s">
        <v>940</v>
      </c>
      <c r="Y7" s="120" t="s">
        <v>679</v>
      </c>
      <c r="Z7" s="121" t="s">
        <v>680</v>
      </c>
      <c r="AA7" s="118" t="s">
        <v>681</v>
      </c>
      <c r="AB7" s="117" t="s">
        <v>3</v>
      </c>
      <c r="AC7" s="117" t="s">
        <v>2</v>
      </c>
      <c r="AD7" s="117" t="s">
        <v>4</v>
      </c>
      <c r="AE7" s="117" t="s">
        <v>5</v>
      </c>
      <c r="AF7" s="117" t="s">
        <v>668</v>
      </c>
      <c r="AG7" s="117" t="s">
        <v>502</v>
      </c>
      <c r="AH7" s="117" t="s">
        <v>6</v>
      </c>
      <c r="AI7" s="117" t="s">
        <v>870</v>
      </c>
      <c r="AJ7" s="117" t="s">
        <v>7</v>
      </c>
      <c r="AK7" s="119" t="s">
        <v>942</v>
      </c>
      <c r="AL7" s="119" t="s">
        <v>915</v>
      </c>
      <c r="AM7" s="120" t="s">
        <v>657</v>
      </c>
      <c r="AN7" s="120" t="s">
        <v>916</v>
      </c>
      <c r="AO7" s="121" t="s">
        <v>658</v>
      </c>
      <c r="AP7" s="121" t="s">
        <v>917</v>
      </c>
      <c r="AQ7" s="473" t="s">
        <v>912</v>
      </c>
      <c r="AR7" s="472" t="s">
        <v>913</v>
      </c>
      <c r="AS7" s="472" t="s">
        <v>914</v>
      </c>
      <c r="AT7" s="495" t="s">
        <v>13</v>
      </c>
    </row>
    <row r="8" spans="1:46" ht="280.5" x14ac:dyDescent="0.25">
      <c r="A8" s="122" t="s">
        <v>587</v>
      </c>
      <c r="B8" s="123">
        <v>2203003</v>
      </c>
      <c r="C8" s="110" t="s">
        <v>469</v>
      </c>
      <c r="D8" s="124" t="s">
        <v>139</v>
      </c>
      <c r="E8" s="124" t="s">
        <v>130</v>
      </c>
      <c r="F8" s="125" t="s">
        <v>124</v>
      </c>
      <c r="G8" s="126" t="s">
        <v>134</v>
      </c>
      <c r="H8" s="127" t="s">
        <v>15</v>
      </c>
      <c r="I8" s="127" t="s">
        <v>170</v>
      </c>
      <c r="J8" s="128" t="s">
        <v>546</v>
      </c>
      <c r="K8" s="129"/>
      <c r="L8" s="130">
        <v>15500000</v>
      </c>
      <c r="M8" s="131"/>
      <c r="N8" s="304">
        <f>K8+L8+M8</f>
        <v>15500000</v>
      </c>
      <c r="O8" s="132"/>
      <c r="P8" s="132"/>
      <c r="Q8" s="132"/>
      <c r="R8" s="132"/>
      <c r="S8" s="132"/>
      <c r="T8" s="132"/>
      <c r="U8" s="133"/>
      <c r="V8" s="134">
        <v>1550000</v>
      </c>
      <c r="W8" s="134"/>
      <c r="X8" s="130"/>
      <c r="Y8" s="130">
        <f>+K8+L8+P8+S8-V8</f>
        <v>13950000</v>
      </c>
      <c r="Z8" s="130"/>
      <c r="AA8" s="303">
        <f>+Y8+Z8+X8</f>
        <v>13950000</v>
      </c>
      <c r="AB8" s="135" t="s">
        <v>59</v>
      </c>
      <c r="AC8" s="127" t="s">
        <v>14</v>
      </c>
      <c r="AD8" s="127" t="s">
        <v>53</v>
      </c>
      <c r="AE8" s="136">
        <v>80101505</v>
      </c>
      <c r="AF8" s="136" t="s">
        <v>420</v>
      </c>
      <c r="AG8" s="136" t="s">
        <v>420</v>
      </c>
      <c r="AH8" s="137">
        <v>10</v>
      </c>
      <c r="AI8" s="137" t="s">
        <v>503</v>
      </c>
      <c r="AJ8" s="127" t="s">
        <v>16</v>
      </c>
      <c r="AK8" s="127">
        <f>Ejecución!V8</f>
        <v>0</v>
      </c>
      <c r="AL8" s="127">
        <f>Ejecución!W8</f>
        <v>0</v>
      </c>
      <c r="AM8" s="127">
        <f>Ejecución!Y8</f>
        <v>0</v>
      </c>
      <c r="AN8" s="127">
        <f>Ejecución!Z8</f>
        <v>0</v>
      </c>
      <c r="AO8" s="127">
        <f>Ejecución!AB8</f>
        <v>0</v>
      </c>
      <c r="AP8" s="127">
        <f>Ejecución!AC8</f>
        <v>0</v>
      </c>
      <c r="AQ8" s="127">
        <f>Ejecución!X8</f>
        <v>0</v>
      </c>
      <c r="AR8" s="127">
        <f>Ejecución!AA8</f>
        <v>0</v>
      </c>
      <c r="AS8" s="127">
        <f>Ejecución!AD8</f>
        <v>0</v>
      </c>
      <c r="AT8" s="496" t="s">
        <v>848</v>
      </c>
    </row>
    <row r="9" spans="1:46" ht="382.5" x14ac:dyDescent="0.25">
      <c r="A9" s="122" t="s">
        <v>587</v>
      </c>
      <c r="B9" s="123">
        <v>2203003</v>
      </c>
      <c r="C9" s="110" t="s">
        <v>469</v>
      </c>
      <c r="D9" s="124" t="s">
        <v>139</v>
      </c>
      <c r="E9" s="124" t="s">
        <v>130</v>
      </c>
      <c r="F9" s="125" t="s">
        <v>124</v>
      </c>
      <c r="G9" s="126" t="s">
        <v>134</v>
      </c>
      <c r="H9" s="127" t="s">
        <v>15</v>
      </c>
      <c r="I9" s="127" t="s">
        <v>170</v>
      </c>
      <c r="J9" s="128" t="s">
        <v>409</v>
      </c>
      <c r="K9" s="129"/>
      <c r="L9" s="130">
        <f>3000000*11</f>
        <v>33000000</v>
      </c>
      <c r="M9" s="131"/>
      <c r="N9" s="304">
        <f t="shared" ref="N9:N89" si="1">K9+L9+M9</f>
        <v>33000000</v>
      </c>
      <c r="O9" s="132"/>
      <c r="P9" s="132"/>
      <c r="Q9" s="132"/>
      <c r="R9" s="132"/>
      <c r="S9" s="132"/>
      <c r="T9" s="132"/>
      <c r="U9" s="133"/>
      <c r="V9" s="134">
        <f>2000000+3965539</f>
        <v>5965539</v>
      </c>
      <c r="W9" s="134"/>
      <c r="X9" s="130"/>
      <c r="Y9" s="130">
        <f>+K9+L9+P9+S9-V9</f>
        <v>27034461</v>
      </c>
      <c r="Z9" s="130"/>
      <c r="AA9" s="303">
        <f t="shared" ref="AA9:AA41" si="2">+Y9+Z9+X9</f>
        <v>27034461</v>
      </c>
      <c r="AB9" s="135" t="s">
        <v>59</v>
      </c>
      <c r="AC9" s="127" t="s">
        <v>14</v>
      </c>
      <c r="AD9" s="127" t="s">
        <v>53</v>
      </c>
      <c r="AE9" s="136">
        <v>80101505</v>
      </c>
      <c r="AF9" s="136" t="s">
        <v>420</v>
      </c>
      <c r="AG9" s="136" t="s">
        <v>420</v>
      </c>
      <c r="AH9" s="137">
        <v>10</v>
      </c>
      <c r="AI9" s="137" t="s">
        <v>503</v>
      </c>
      <c r="AJ9" s="127" t="s">
        <v>16</v>
      </c>
      <c r="AK9" s="127">
        <f>Ejecución!V9</f>
        <v>0</v>
      </c>
      <c r="AL9" s="127">
        <f>Ejecución!W9</f>
        <v>0</v>
      </c>
      <c r="AM9" s="127" t="e">
        <f>Ejecución!#REF!</f>
        <v>#REF!</v>
      </c>
      <c r="AN9" s="127">
        <f>Ejecución!Z9</f>
        <v>0</v>
      </c>
      <c r="AO9" s="127">
        <f>Ejecución!AB9</f>
        <v>0</v>
      </c>
      <c r="AP9" s="127">
        <f>Ejecución!AC9</f>
        <v>0</v>
      </c>
      <c r="AQ9" s="127">
        <f>Ejecución!Y9</f>
        <v>22723490</v>
      </c>
      <c r="AR9" s="127">
        <f>Ejecución!AA9</f>
        <v>0</v>
      </c>
      <c r="AS9" s="127">
        <f>Ejecución!AD9</f>
        <v>0</v>
      </c>
      <c r="AT9" s="513" t="s">
        <v>849</v>
      </c>
    </row>
    <row r="10" spans="1:46" s="139" customFormat="1" ht="382.5" x14ac:dyDescent="0.25">
      <c r="A10" s="122" t="s">
        <v>587</v>
      </c>
      <c r="B10" s="123">
        <v>2203003</v>
      </c>
      <c r="C10" s="110" t="s">
        <v>469</v>
      </c>
      <c r="D10" s="124" t="s">
        <v>139</v>
      </c>
      <c r="E10" s="124" t="s">
        <v>130</v>
      </c>
      <c r="F10" s="125" t="s">
        <v>124</v>
      </c>
      <c r="G10" s="126" t="s">
        <v>134</v>
      </c>
      <c r="H10" s="127" t="s">
        <v>15</v>
      </c>
      <c r="I10" s="127" t="s">
        <v>170</v>
      </c>
      <c r="J10" s="128" t="s">
        <v>686</v>
      </c>
      <c r="K10" s="129"/>
      <c r="L10" s="130">
        <f>3000000*11</f>
        <v>33000000</v>
      </c>
      <c r="M10" s="131"/>
      <c r="N10" s="304">
        <f t="shared" si="1"/>
        <v>33000000</v>
      </c>
      <c r="O10" s="132"/>
      <c r="P10" s="132"/>
      <c r="Q10" s="132"/>
      <c r="R10" s="132"/>
      <c r="S10" s="132"/>
      <c r="T10" s="132"/>
      <c r="U10" s="133"/>
      <c r="V10" s="134">
        <f>2000000+3965539</f>
        <v>5965539</v>
      </c>
      <c r="W10" s="134"/>
      <c r="X10" s="130"/>
      <c r="Y10" s="130">
        <f>+K10+L10+P10+S10-V10</f>
        <v>27034461</v>
      </c>
      <c r="Z10" s="130"/>
      <c r="AA10" s="303">
        <f t="shared" si="2"/>
        <v>27034461</v>
      </c>
      <c r="AB10" s="135" t="s">
        <v>59</v>
      </c>
      <c r="AC10" s="127" t="s">
        <v>14</v>
      </c>
      <c r="AD10" s="127" t="s">
        <v>53</v>
      </c>
      <c r="AE10" s="136">
        <v>80101505</v>
      </c>
      <c r="AF10" s="136" t="s">
        <v>420</v>
      </c>
      <c r="AG10" s="136" t="s">
        <v>420</v>
      </c>
      <c r="AH10" s="137">
        <v>10</v>
      </c>
      <c r="AI10" s="137" t="s">
        <v>503</v>
      </c>
      <c r="AJ10" s="127" t="s">
        <v>16</v>
      </c>
      <c r="AK10" s="127">
        <f>Ejecución!V10</f>
        <v>69540645</v>
      </c>
      <c r="AL10" s="127">
        <f>Ejecución!W10</f>
        <v>0</v>
      </c>
      <c r="AM10" s="127">
        <f>Ejecución!Y10</f>
        <v>21315756</v>
      </c>
      <c r="AN10" s="127">
        <f>Ejecución!Z10</f>
        <v>0</v>
      </c>
      <c r="AO10" s="127">
        <f>Ejecución!AB10</f>
        <v>0</v>
      </c>
      <c r="AP10" s="127">
        <f>Ejecución!AC10</f>
        <v>0</v>
      </c>
      <c r="AQ10" s="127">
        <f>Ejecución!X10</f>
        <v>69540645</v>
      </c>
      <c r="AR10" s="127">
        <f>Ejecución!AA10</f>
        <v>21315756</v>
      </c>
      <c r="AS10" s="127">
        <f>Ejecución!AD10</f>
        <v>0</v>
      </c>
      <c r="AT10" s="513" t="s">
        <v>849</v>
      </c>
    </row>
    <row r="11" spans="1:46" s="139" customFormat="1" ht="331.5" x14ac:dyDescent="0.25">
      <c r="A11" s="122" t="s">
        <v>612</v>
      </c>
      <c r="B11" s="123">
        <v>2203003</v>
      </c>
      <c r="C11" s="110" t="s">
        <v>469</v>
      </c>
      <c r="D11" s="124" t="s">
        <v>139</v>
      </c>
      <c r="E11" s="124" t="s">
        <v>130</v>
      </c>
      <c r="F11" s="125" t="s">
        <v>124</v>
      </c>
      <c r="G11" s="126" t="s">
        <v>134</v>
      </c>
      <c r="H11" s="127" t="s">
        <v>15</v>
      </c>
      <c r="I11" s="127" t="s">
        <v>170</v>
      </c>
      <c r="J11" s="128" t="s">
        <v>412</v>
      </c>
      <c r="K11" s="129"/>
      <c r="L11" s="130">
        <v>7200000</v>
      </c>
      <c r="M11" s="131"/>
      <c r="N11" s="304">
        <f t="shared" si="1"/>
        <v>7200000</v>
      </c>
      <c r="O11" s="132"/>
      <c r="P11" s="132"/>
      <c r="Q11" s="132"/>
      <c r="R11" s="132"/>
      <c r="S11" s="132"/>
      <c r="T11" s="132"/>
      <c r="U11" s="133"/>
      <c r="V11" s="134">
        <f>5518922+1681078</f>
        <v>7200000</v>
      </c>
      <c r="W11" s="134"/>
      <c r="X11" s="130"/>
      <c r="Y11" s="130">
        <f>+K11+L11+P11+S11-V11</f>
        <v>0</v>
      </c>
      <c r="Z11" s="130"/>
      <c r="AA11" s="303">
        <f t="shared" si="2"/>
        <v>0</v>
      </c>
      <c r="AB11" s="135" t="s">
        <v>59</v>
      </c>
      <c r="AC11" s="140" t="s">
        <v>30</v>
      </c>
      <c r="AD11" s="140" t="s">
        <v>53</v>
      </c>
      <c r="AE11" s="141">
        <v>80141902</v>
      </c>
      <c r="AF11" s="142" t="s">
        <v>420</v>
      </c>
      <c r="AG11" s="142" t="s">
        <v>421</v>
      </c>
      <c r="AH11" s="137">
        <v>8</v>
      </c>
      <c r="AI11" s="137" t="s">
        <v>503</v>
      </c>
      <c r="AJ11" s="143" t="s">
        <v>22</v>
      </c>
      <c r="AK11" s="127">
        <f>Ejecución!V11</f>
        <v>0</v>
      </c>
      <c r="AL11" s="127">
        <f>Ejecución!W11</f>
        <v>0</v>
      </c>
      <c r="AM11" s="127">
        <f>Ejecución!Y11</f>
        <v>13950000</v>
      </c>
      <c r="AN11" s="127">
        <f>Ejecución!Z11</f>
        <v>0</v>
      </c>
      <c r="AO11" s="127">
        <f>Ejecución!AB11</f>
        <v>0</v>
      </c>
      <c r="AP11" s="127">
        <f>Ejecución!AC11</f>
        <v>0</v>
      </c>
      <c r="AQ11" s="127">
        <f>Ejecución!X11</f>
        <v>0</v>
      </c>
      <c r="AR11" s="127">
        <f>Ejecución!AA11</f>
        <v>12400000</v>
      </c>
      <c r="AS11" s="127">
        <f>Ejecución!AD11</f>
        <v>0</v>
      </c>
      <c r="AT11" s="513" t="s">
        <v>850</v>
      </c>
    </row>
    <row r="12" spans="1:46" s="139" customFormat="1" ht="95.25" customHeight="1" x14ac:dyDescent="0.25">
      <c r="A12" s="122" t="s">
        <v>592</v>
      </c>
      <c r="B12" s="123">
        <v>2203003</v>
      </c>
      <c r="C12" s="110" t="s">
        <v>469</v>
      </c>
      <c r="D12" s="124" t="s">
        <v>139</v>
      </c>
      <c r="E12" s="124" t="s">
        <v>130</v>
      </c>
      <c r="F12" s="125" t="s">
        <v>124</v>
      </c>
      <c r="G12" s="126" t="s">
        <v>134</v>
      </c>
      <c r="H12" s="127" t="s">
        <v>15</v>
      </c>
      <c r="I12" s="127" t="s">
        <v>170</v>
      </c>
      <c r="J12" s="128" t="s">
        <v>295</v>
      </c>
      <c r="K12" s="129"/>
      <c r="L12" s="130">
        <v>4480000</v>
      </c>
      <c r="M12" s="131"/>
      <c r="N12" s="304">
        <f t="shared" si="1"/>
        <v>4480000</v>
      </c>
      <c r="O12" s="132"/>
      <c r="P12" s="132"/>
      <c r="Q12" s="132"/>
      <c r="R12" s="132"/>
      <c r="S12" s="132">
        <f>1681078+400000+500000</f>
        <v>2581078</v>
      </c>
      <c r="T12" s="132"/>
      <c r="U12" s="133"/>
      <c r="V12" s="134">
        <v>134078</v>
      </c>
      <c r="W12" s="134"/>
      <c r="X12" s="130"/>
      <c r="Y12" s="130">
        <f>+K12+L12+P12+S12-V12</f>
        <v>6927000</v>
      </c>
      <c r="Z12" s="130"/>
      <c r="AA12" s="303">
        <f>+Y12+Z12+X12</f>
        <v>6927000</v>
      </c>
      <c r="AB12" s="135" t="s">
        <v>59</v>
      </c>
      <c r="AC12" s="143" t="s">
        <v>39</v>
      </c>
      <c r="AD12" s="143" t="s">
        <v>296</v>
      </c>
      <c r="AE12" s="143" t="s">
        <v>296</v>
      </c>
      <c r="AF12" s="144" t="s">
        <v>296</v>
      </c>
      <c r="AG12" s="144" t="s">
        <v>296</v>
      </c>
      <c r="AH12" s="137" t="s">
        <v>296</v>
      </c>
      <c r="AI12" s="137" t="s">
        <v>296</v>
      </c>
      <c r="AJ12" s="143" t="s">
        <v>25</v>
      </c>
      <c r="AK12" s="127">
        <f>Ejecución!V12</f>
        <v>0</v>
      </c>
      <c r="AL12" s="127">
        <f>Ejecución!W12</f>
        <v>0</v>
      </c>
      <c r="AM12" s="127">
        <f>Ejecución!Y12</f>
        <v>27034461</v>
      </c>
      <c r="AN12" s="127">
        <f>Ejecución!Z12</f>
        <v>0</v>
      </c>
      <c r="AO12" s="127">
        <f>Ejecución!AB12</f>
        <v>0</v>
      </c>
      <c r="AP12" s="127">
        <f>Ejecución!AC12</f>
        <v>0</v>
      </c>
      <c r="AQ12" s="127">
        <f>Ejecución!X12</f>
        <v>0</v>
      </c>
      <c r="AR12" s="127">
        <f>Ejecución!AA12</f>
        <v>27034461</v>
      </c>
      <c r="AS12" s="127">
        <f>Ejecución!AD12</f>
        <v>0</v>
      </c>
      <c r="AT12" s="474" t="s">
        <v>1137</v>
      </c>
    </row>
    <row r="13" spans="1:46" s="139" customFormat="1" ht="357" x14ac:dyDescent="0.25">
      <c r="A13" s="122" t="s">
        <v>592</v>
      </c>
      <c r="B13" s="123">
        <v>2203003</v>
      </c>
      <c r="C13" s="110" t="s">
        <v>469</v>
      </c>
      <c r="D13" s="124" t="s">
        <v>139</v>
      </c>
      <c r="E13" s="124" t="s">
        <v>130</v>
      </c>
      <c r="F13" s="125" t="s">
        <v>124</v>
      </c>
      <c r="G13" s="126" t="s">
        <v>134</v>
      </c>
      <c r="H13" s="127" t="s">
        <v>15</v>
      </c>
      <c r="I13" s="127" t="s">
        <v>170</v>
      </c>
      <c r="J13" s="128" t="s">
        <v>416</v>
      </c>
      <c r="K13" s="129"/>
      <c r="L13" s="130">
        <f>48000000-30000000</f>
        <v>18000000</v>
      </c>
      <c r="M13" s="131"/>
      <c r="N13" s="304">
        <f t="shared" si="1"/>
        <v>18000000</v>
      </c>
      <c r="O13" s="132"/>
      <c r="P13" s="132"/>
      <c r="Q13" s="132"/>
      <c r="R13" s="132"/>
      <c r="S13" s="132">
        <v>9600000</v>
      </c>
      <c r="T13" s="132"/>
      <c r="U13" s="133"/>
      <c r="V13" s="134">
        <v>1300000</v>
      </c>
      <c r="W13" s="134"/>
      <c r="X13" s="130"/>
      <c r="Y13" s="130">
        <f>+L13+S13-V13</f>
        <v>26300000</v>
      </c>
      <c r="Z13" s="130"/>
      <c r="AA13" s="303">
        <f t="shared" si="2"/>
        <v>26300000</v>
      </c>
      <c r="AB13" s="135" t="s">
        <v>59</v>
      </c>
      <c r="AC13" s="143" t="s">
        <v>297</v>
      </c>
      <c r="AD13" s="143" t="s">
        <v>27</v>
      </c>
      <c r="AE13" s="143">
        <v>78111502</v>
      </c>
      <c r="AF13" s="142" t="s">
        <v>420</v>
      </c>
      <c r="AG13" s="142" t="s">
        <v>420</v>
      </c>
      <c r="AH13" s="137">
        <v>10</v>
      </c>
      <c r="AI13" s="137" t="s">
        <v>503</v>
      </c>
      <c r="AJ13" s="143" t="s">
        <v>16</v>
      </c>
      <c r="AK13" s="127">
        <f>Ejecución!V13</f>
        <v>0</v>
      </c>
      <c r="AL13" s="127">
        <f>Ejecución!W13</f>
        <v>0</v>
      </c>
      <c r="AM13" s="127">
        <f>Ejecución!Y13</f>
        <v>27034461</v>
      </c>
      <c r="AN13" s="127">
        <f>Ejecución!Z13</f>
        <v>0</v>
      </c>
      <c r="AO13" s="127">
        <f>Ejecución!AB13</f>
        <v>0</v>
      </c>
      <c r="AP13" s="127">
        <f>Ejecución!AC13</f>
        <v>0</v>
      </c>
      <c r="AQ13" s="127">
        <f>Ejecución!X13</f>
        <v>0</v>
      </c>
      <c r="AR13" s="127">
        <f>Ejecución!AA13</f>
        <v>27034461</v>
      </c>
      <c r="AS13" s="127">
        <f>Ejecución!AD13</f>
        <v>0</v>
      </c>
      <c r="AT13" s="496" t="s">
        <v>1138</v>
      </c>
    </row>
    <row r="14" spans="1:46" s="139" customFormat="1" ht="157.5" customHeight="1" x14ac:dyDescent="0.25">
      <c r="A14" s="122" t="s">
        <v>613</v>
      </c>
      <c r="B14" s="123">
        <v>2203003</v>
      </c>
      <c r="C14" s="110" t="s">
        <v>469</v>
      </c>
      <c r="D14" s="124" t="s">
        <v>139</v>
      </c>
      <c r="E14" s="124" t="s">
        <v>130</v>
      </c>
      <c r="F14" s="125" t="s">
        <v>124</v>
      </c>
      <c r="G14" s="126" t="s">
        <v>134</v>
      </c>
      <c r="H14" s="127" t="s">
        <v>15</v>
      </c>
      <c r="I14" s="127" t="s">
        <v>170</v>
      </c>
      <c r="J14" s="128" t="s">
        <v>386</v>
      </c>
      <c r="K14" s="146">
        <v>2466973</v>
      </c>
      <c r="L14" s="130">
        <v>38921177</v>
      </c>
      <c r="M14" s="131"/>
      <c r="N14" s="304">
        <f t="shared" si="1"/>
        <v>41388150</v>
      </c>
      <c r="O14" s="132"/>
      <c r="P14" s="132"/>
      <c r="Q14" s="132"/>
      <c r="R14" s="132"/>
      <c r="S14" s="132">
        <f>1550000+3965539+3965539+5518922</f>
        <v>15000000</v>
      </c>
      <c r="T14" s="132"/>
      <c r="U14" s="133"/>
      <c r="V14" s="134">
        <v>602161</v>
      </c>
      <c r="W14" s="134"/>
      <c r="X14" s="146">
        <v>2466973</v>
      </c>
      <c r="Y14" s="130">
        <f>+L14+S14-V14</f>
        <v>53319016</v>
      </c>
      <c r="Z14" s="130"/>
      <c r="AA14" s="303">
        <f>+Y14+Z14+X14</f>
        <v>55785989</v>
      </c>
      <c r="AB14" s="135" t="s">
        <v>59</v>
      </c>
      <c r="AC14" s="143" t="s">
        <v>146</v>
      </c>
      <c r="AD14" s="143" t="s">
        <v>296</v>
      </c>
      <c r="AE14" s="143" t="s">
        <v>296</v>
      </c>
      <c r="AF14" s="144" t="s">
        <v>296</v>
      </c>
      <c r="AG14" s="144" t="s">
        <v>296</v>
      </c>
      <c r="AH14" s="137" t="s">
        <v>296</v>
      </c>
      <c r="AI14" s="137" t="s">
        <v>296</v>
      </c>
      <c r="AJ14" s="143" t="s">
        <v>25</v>
      </c>
      <c r="AK14" s="127">
        <f>Ejecución!V14</f>
        <v>0</v>
      </c>
      <c r="AL14" s="127">
        <f>Ejecución!W14</f>
        <v>0</v>
      </c>
      <c r="AM14" s="127">
        <f>Ejecución!Y14</f>
        <v>0</v>
      </c>
      <c r="AN14" s="127">
        <f>Ejecución!Z14</f>
        <v>0</v>
      </c>
      <c r="AO14" s="127">
        <f>Ejecución!AB14</f>
        <v>0</v>
      </c>
      <c r="AP14" s="127">
        <f>Ejecución!AC14</f>
        <v>0</v>
      </c>
      <c r="AQ14" s="127">
        <f>Ejecución!X14</f>
        <v>0</v>
      </c>
      <c r="AR14" s="127">
        <f>Ejecución!AA14</f>
        <v>0</v>
      </c>
      <c r="AS14" s="127">
        <f>Ejecución!AD14</f>
        <v>0</v>
      </c>
      <c r="AT14" s="557" t="s">
        <v>1139</v>
      </c>
    </row>
    <row r="15" spans="1:46" s="139" customFormat="1" ht="210" x14ac:dyDescent="0.25">
      <c r="A15" s="122" t="s">
        <v>615</v>
      </c>
      <c r="B15" s="123">
        <v>2203003</v>
      </c>
      <c r="C15" s="110" t="s">
        <v>469</v>
      </c>
      <c r="D15" s="124" t="s">
        <v>139</v>
      </c>
      <c r="E15" s="124" t="s">
        <v>130</v>
      </c>
      <c r="F15" s="125" t="s">
        <v>124</v>
      </c>
      <c r="G15" s="126" t="s">
        <v>134</v>
      </c>
      <c r="H15" s="127" t="s">
        <v>15</v>
      </c>
      <c r="I15" s="127" t="s">
        <v>170</v>
      </c>
      <c r="J15" s="128" t="s">
        <v>556</v>
      </c>
      <c r="K15" s="146"/>
      <c r="L15" s="130">
        <v>6000000</v>
      </c>
      <c r="M15" s="131"/>
      <c r="N15" s="304">
        <f t="shared" si="1"/>
        <v>6000000</v>
      </c>
      <c r="O15" s="132"/>
      <c r="P15" s="132"/>
      <c r="Q15" s="132"/>
      <c r="R15" s="132"/>
      <c r="S15" s="132">
        <f>4000000+3900000</f>
        <v>7900000</v>
      </c>
      <c r="T15" s="132"/>
      <c r="U15" s="133"/>
      <c r="V15" s="134"/>
      <c r="W15" s="134"/>
      <c r="X15" s="130"/>
      <c r="Y15" s="130">
        <f>+K15+L15+P15+S15-V15</f>
        <v>13900000</v>
      </c>
      <c r="Z15" s="130"/>
      <c r="AA15" s="303">
        <f t="shared" si="2"/>
        <v>13900000</v>
      </c>
      <c r="AB15" s="135" t="s">
        <v>59</v>
      </c>
      <c r="AC15" s="143" t="s">
        <v>79</v>
      </c>
      <c r="AD15" s="143" t="s">
        <v>32</v>
      </c>
      <c r="AE15" s="143" t="s">
        <v>649</v>
      </c>
      <c r="AF15" s="144" t="s">
        <v>421</v>
      </c>
      <c r="AG15" s="144" t="s">
        <v>421</v>
      </c>
      <c r="AH15" s="137">
        <v>8</v>
      </c>
      <c r="AI15" s="137"/>
      <c r="AJ15" s="147" t="s">
        <v>20</v>
      </c>
      <c r="AK15" s="127">
        <f>Ejecución!V15</f>
        <v>0</v>
      </c>
      <c r="AL15" s="127">
        <f>Ejecución!W15</f>
        <v>0</v>
      </c>
      <c r="AM15" s="127">
        <f>Ejecución!Y15</f>
        <v>6927000</v>
      </c>
      <c r="AN15" s="127">
        <f>Ejecución!Z15</f>
        <v>0</v>
      </c>
      <c r="AO15" s="127">
        <f>Ejecución!AB15</f>
        <v>0</v>
      </c>
      <c r="AP15" s="127">
        <f>Ejecución!AC15</f>
        <v>0</v>
      </c>
      <c r="AQ15" s="127">
        <f>Ejecución!X15</f>
        <v>0</v>
      </c>
      <c r="AR15" s="127">
        <f>Ejecución!AA15</f>
        <v>6927000</v>
      </c>
      <c r="AS15" s="127">
        <f>Ejecución!AD15</f>
        <v>0</v>
      </c>
      <c r="AT15" s="513" t="s">
        <v>852</v>
      </c>
    </row>
    <row r="16" spans="1:46" s="139" customFormat="1" ht="270" x14ac:dyDescent="0.25">
      <c r="A16" s="122" t="s">
        <v>612</v>
      </c>
      <c r="B16" s="123">
        <v>2203003</v>
      </c>
      <c r="C16" s="110" t="s">
        <v>469</v>
      </c>
      <c r="D16" s="124" t="s">
        <v>139</v>
      </c>
      <c r="E16" s="124" t="s">
        <v>130</v>
      </c>
      <c r="F16" s="125" t="s">
        <v>124</v>
      </c>
      <c r="G16" s="148" t="s">
        <v>133</v>
      </c>
      <c r="H16" s="127" t="s">
        <v>15</v>
      </c>
      <c r="I16" s="127" t="s">
        <v>341</v>
      </c>
      <c r="J16" s="128" t="s">
        <v>413</v>
      </c>
      <c r="K16" s="129"/>
      <c r="L16" s="149">
        <f>3600000</f>
        <v>3600000</v>
      </c>
      <c r="M16" s="131"/>
      <c r="N16" s="304">
        <f t="shared" si="1"/>
        <v>3600000</v>
      </c>
      <c r="O16" s="132"/>
      <c r="P16" s="132"/>
      <c r="Q16" s="132"/>
      <c r="R16" s="132"/>
      <c r="S16" s="132"/>
      <c r="T16" s="132"/>
      <c r="U16" s="133"/>
      <c r="V16" s="134"/>
      <c r="W16" s="134"/>
      <c r="X16" s="130"/>
      <c r="Y16" s="130">
        <f t="shared" ref="Y16:Y17" si="3">+K16+L16+P16+S16-V16</f>
        <v>3600000</v>
      </c>
      <c r="Z16" s="130"/>
      <c r="AA16" s="303">
        <f t="shared" si="2"/>
        <v>3600000</v>
      </c>
      <c r="AB16" s="135" t="s">
        <v>59</v>
      </c>
      <c r="AC16" s="140" t="s">
        <v>30</v>
      </c>
      <c r="AD16" s="140" t="s">
        <v>143</v>
      </c>
      <c r="AE16" s="141">
        <v>80141902</v>
      </c>
      <c r="AF16" s="142" t="s">
        <v>68</v>
      </c>
      <c r="AG16" s="142" t="s">
        <v>68</v>
      </c>
      <c r="AH16" s="137">
        <v>5</v>
      </c>
      <c r="AI16" s="137" t="s">
        <v>503</v>
      </c>
      <c r="AJ16" s="127" t="s">
        <v>16</v>
      </c>
      <c r="AK16" s="127">
        <f>Ejecución!V16</f>
        <v>0</v>
      </c>
      <c r="AL16" s="127">
        <f>Ejecución!W16</f>
        <v>0</v>
      </c>
      <c r="AM16" s="127">
        <f>Ejecución!Y16</f>
        <v>26300000</v>
      </c>
      <c r="AN16" s="127">
        <f>Ejecución!Z16</f>
        <v>0</v>
      </c>
      <c r="AO16" s="127">
        <f>Ejecución!AB16</f>
        <v>0</v>
      </c>
      <c r="AP16" s="127">
        <f>Ejecución!AC16</f>
        <v>0</v>
      </c>
      <c r="AQ16" s="127">
        <f>Ejecución!X16</f>
        <v>0</v>
      </c>
      <c r="AR16" s="127">
        <f>Ejecución!AA16</f>
        <v>25213100</v>
      </c>
      <c r="AS16" s="127">
        <f>Ejecución!AD16</f>
        <v>0</v>
      </c>
      <c r="AT16" s="496"/>
    </row>
    <row r="17" spans="1:46" s="139" customFormat="1" ht="210" x14ac:dyDescent="0.25">
      <c r="A17" s="122" t="s">
        <v>612</v>
      </c>
      <c r="B17" s="150">
        <v>2203003</v>
      </c>
      <c r="C17" s="150" t="s">
        <v>469</v>
      </c>
      <c r="D17" s="150" t="s">
        <v>139</v>
      </c>
      <c r="E17" s="150" t="s">
        <v>130</v>
      </c>
      <c r="F17" s="125" t="s">
        <v>124</v>
      </c>
      <c r="G17" s="157" t="s">
        <v>132</v>
      </c>
      <c r="H17" s="150" t="s">
        <v>15</v>
      </c>
      <c r="I17" s="150" t="s">
        <v>342</v>
      </c>
      <c r="J17" s="128" t="s">
        <v>939</v>
      </c>
      <c r="K17" s="214"/>
      <c r="L17" s="149">
        <v>8600000</v>
      </c>
      <c r="M17" s="149"/>
      <c r="N17" s="305">
        <f t="shared" si="1"/>
        <v>8600000</v>
      </c>
      <c r="O17" s="132"/>
      <c r="P17" s="132"/>
      <c r="Q17" s="132"/>
      <c r="R17" s="132"/>
      <c r="S17" s="132"/>
      <c r="T17" s="132"/>
      <c r="U17" s="133"/>
      <c r="V17" s="134">
        <f>400000+8200000</f>
        <v>8600000</v>
      </c>
      <c r="W17" s="134"/>
      <c r="X17" s="130"/>
      <c r="Y17" s="130">
        <f t="shared" si="3"/>
        <v>0</v>
      </c>
      <c r="Z17" s="130"/>
      <c r="AA17" s="303">
        <f t="shared" si="2"/>
        <v>0</v>
      </c>
      <c r="AB17" s="135" t="s">
        <v>59</v>
      </c>
      <c r="AC17" s="140" t="s">
        <v>30</v>
      </c>
      <c r="AD17" s="140" t="s">
        <v>53</v>
      </c>
      <c r="AE17" s="141">
        <v>80141902</v>
      </c>
      <c r="AF17" s="142" t="s">
        <v>420</v>
      </c>
      <c r="AG17" s="142" t="s">
        <v>421</v>
      </c>
      <c r="AH17" s="137">
        <v>8</v>
      </c>
      <c r="AI17" s="137" t="s">
        <v>503</v>
      </c>
      <c r="AJ17" s="143" t="s">
        <v>22</v>
      </c>
      <c r="AK17" s="127">
        <f>Ejecución!V17</f>
        <v>2466973</v>
      </c>
      <c r="AL17" s="127">
        <f>Ejecución!W17</f>
        <v>0</v>
      </c>
      <c r="AM17" s="127">
        <f>Ejecución!Y17</f>
        <v>53319016</v>
      </c>
      <c r="AN17" s="127">
        <f>Ejecución!Z17</f>
        <v>0</v>
      </c>
      <c r="AO17" s="127">
        <f>Ejecución!AB17</f>
        <v>0</v>
      </c>
      <c r="AP17" s="127">
        <f>Ejecución!AC17</f>
        <v>0</v>
      </c>
      <c r="AQ17" s="127">
        <f>Ejecución!X17</f>
        <v>2466973</v>
      </c>
      <c r="AR17" s="127">
        <f>Ejecución!AA17</f>
        <v>53319016</v>
      </c>
      <c r="AS17" s="127">
        <f>Ejecución!AD17</f>
        <v>0</v>
      </c>
      <c r="AT17" s="496" t="s">
        <v>938</v>
      </c>
    </row>
    <row r="18" spans="1:46" s="139" customFormat="1" ht="409.6" customHeight="1" x14ac:dyDescent="0.25">
      <c r="A18" s="122" t="s">
        <v>612</v>
      </c>
      <c r="B18" s="150">
        <v>2203003</v>
      </c>
      <c r="C18" s="150" t="s">
        <v>469</v>
      </c>
      <c r="D18" s="150" t="s">
        <v>139</v>
      </c>
      <c r="E18" s="150" t="s">
        <v>130</v>
      </c>
      <c r="F18" s="125" t="s">
        <v>124</v>
      </c>
      <c r="G18" s="157" t="s">
        <v>132</v>
      </c>
      <c r="H18" s="150" t="s">
        <v>15</v>
      </c>
      <c r="I18" s="150" t="s">
        <v>342</v>
      </c>
      <c r="J18" s="128" t="s">
        <v>967</v>
      </c>
      <c r="K18" s="214"/>
      <c r="L18" s="149"/>
      <c r="M18" s="149"/>
      <c r="N18" s="305">
        <f t="shared" ref="N18" si="4">K18+L18+M18</f>
        <v>0</v>
      </c>
      <c r="O18" s="132"/>
      <c r="P18" s="132">
        <f>8200000+3800000</f>
        <v>12000000</v>
      </c>
      <c r="Q18" s="132"/>
      <c r="R18" s="132"/>
      <c r="S18" s="132"/>
      <c r="T18" s="132"/>
      <c r="U18" s="133"/>
      <c r="V18" s="134"/>
      <c r="W18" s="134"/>
      <c r="X18" s="130"/>
      <c r="Y18" s="130">
        <f>+K18+L18+P18+S18-V18</f>
        <v>12000000</v>
      </c>
      <c r="Z18" s="130"/>
      <c r="AA18" s="303">
        <f t="shared" ref="AA18" si="5">+Y18+Z18+X18</f>
        <v>12000000</v>
      </c>
      <c r="AB18" s="135" t="s">
        <v>59</v>
      </c>
      <c r="AC18" s="127" t="s">
        <v>14</v>
      </c>
      <c r="AD18" s="140" t="s">
        <v>53</v>
      </c>
      <c r="AE18" s="141">
        <v>94131503</v>
      </c>
      <c r="AF18" s="142" t="s">
        <v>423</v>
      </c>
      <c r="AG18" s="142" t="s">
        <v>925</v>
      </c>
      <c r="AH18" s="137">
        <v>1</v>
      </c>
      <c r="AI18" s="137" t="s">
        <v>503</v>
      </c>
      <c r="AJ18" s="143" t="s">
        <v>16</v>
      </c>
      <c r="AK18" s="127">
        <f>Ejecución!V18</f>
        <v>0</v>
      </c>
      <c r="AL18" s="127">
        <f>Ejecución!W18</f>
        <v>0</v>
      </c>
      <c r="AM18" s="127">
        <f>Ejecución!Y18</f>
        <v>13900000</v>
      </c>
      <c r="AN18" s="127">
        <f>Ejecución!Z18</f>
        <v>0</v>
      </c>
      <c r="AO18" s="127">
        <f>Ejecución!AB18</f>
        <v>0</v>
      </c>
      <c r="AP18" s="127">
        <f>Ejecución!AC18</f>
        <v>0</v>
      </c>
      <c r="AQ18" s="127">
        <f>Ejecución!X18</f>
        <v>0</v>
      </c>
      <c r="AR18" s="127">
        <f>Ejecución!AA18</f>
        <v>11050800</v>
      </c>
      <c r="AS18" s="127">
        <f>Ejecución!AD18</f>
        <v>0</v>
      </c>
      <c r="AT18" s="496" t="s">
        <v>955</v>
      </c>
    </row>
    <row r="19" spans="1:46" s="139" customFormat="1" ht="270" x14ac:dyDescent="0.25">
      <c r="A19" s="151" t="s">
        <v>588</v>
      </c>
      <c r="B19" s="123">
        <v>2203003</v>
      </c>
      <c r="C19" s="110" t="s">
        <v>469</v>
      </c>
      <c r="D19" s="124" t="s">
        <v>139</v>
      </c>
      <c r="E19" s="124" t="s">
        <v>130</v>
      </c>
      <c r="F19" s="125" t="s">
        <v>124</v>
      </c>
      <c r="G19" s="148" t="s">
        <v>133</v>
      </c>
      <c r="H19" s="127" t="s">
        <v>15</v>
      </c>
      <c r="I19" s="127" t="s">
        <v>341</v>
      </c>
      <c r="J19" s="128" t="s">
        <v>410</v>
      </c>
      <c r="K19" s="129"/>
      <c r="L19" s="132">
        <f>3200000*11</f>
        <v>35200000</v>
      </c>
      <c r="M19" s="131"/>
      <c r="N19" s="304">
        <f t="shared" si="1"/>
        <v>35200000</v>
      </c>
      <c r="O19" s="132"/>
      <c r="P19" s="132"/>
      <c r="Q19" s="132"/>
      <c r="R19" s="132"/>
      <c r="S19" s="132"/>
      <c r="T19" s="132"/>
      <c r="U19" s="133"/>
      <c r="V19" s="134">
        <v>3900000</v>
      </c>
      <c r="W19" s="134"/>
      <c r="X19" s="130"/>
      <c r="Y19" s="130">
        <f>+L19+S19-V19</f>
        <v>31300000</v>
      </c>
      <c r="Z19" s="130"/>
      <c r="AA19" s="303">
        <f t="shared" si="2"/>
        <v>31300000</v>
      </c>
      <c r="AB19" s="135" t="s">
        <v>59</v>
      </c>
      <c r="AC19" s="127" t="s">
        <v>14</v>
      </c>
      <c r="AD19" s="127" t="s">
        <v>53</v>
      </c>
      <c r="AE19" s="136">
        <v>80101505</v>
      </c>
      <c r="AF19" s="136" t="s">
        <v>419</v>
      </c>
      <c r="AG19" s="136" t="s">
        <v>419</v>
      </c>
      <c r="AH19" s="137">
        <v>11</v>
      </c>
      <c r="AI19" s="137" t="s">
        <v>503</v>
      </c>
      <c r="AJ19" s="127" t="s">
        <v>16</v>
      </c>
      <c r="AK19" s="127">
        <f>Ejecución!V19</f>
        <v>0</v>
      </c>
      <c r="AL19" s="127">
        <f>Ejecución!W19</f>
        <v>0</v>
      </c>
      <c r="AM19" s="127">
        <f>Ejecución!Y19</f>
        <v>3600000</v>
      </c>
      <c r="AN19" s="127">
        <f>Ejecución!Z19</f>
        <v>0</v>
      </c>
      <c r="AO19" s="127">
        <f>Ejecución!AB19</f>
        <v>0</v>
      </c>
      <c r="AP19" s="127">
        <f>Ejecución!AC19</f>
        <v>0</v>
      </c>
      <c r="AQ19" s="127">
        <f>Ejecución!X19</f>
        <v>0</v>
      </c>
      <c r="AR19" s="127">
        <f>Ejecución!AA19</f>
        <v>0</v>
      </c>
      <c r="AS19" s="127">
        <f>Ejecución!AD19</f>
        <v>0</v>
      </c>
      <c r="AT19" s="496" t="s">
        <v>851</v>
      </c>
    </row>
    <row r="20" spans="1:46" s="139" customFormat="1" ht="165" customHeight="1" x14ac:dyDescent="0.25">
      <c r="A20" s="122" t="s">
        <v>592</v>
      </c>
      <c r="B20" s="123">
        <v>2203003</v>
      </c>
      <c r="C20" s="110" t="s">
        <v>469</v>
      </c>
      <c r="D20" s="124" t="s">
        <v>139</v>
      </c>
      <c r="E20" s="124" t="s">
        <v>130</v>
      </c>
      <c r="F20" s="125" t="s">
        <v>124</v>
      </c>
      <c r="G20" s="148" t="s">
        <v>133</v>
      </c>
      <c r="H20" s="127" t="s">
        <v>15</v>
      </c>
      <c r="I20" s="127" t="s">
        <v>341</v>
      </c>
      <c r="J20" s="128" t="s">
        <v>295</v>
      </c>
      <c r="K20" s="129"/>
      <c r="L20" s="149">
        <v>840000</v>
      </c>
      <c r="M20" s="131"/>
      <c r="N20" s="304">
        <f>K20+L20+M20</f>
        <v>840000</v>
      </c>
      <c r="O20" s="132"/>
      <c r="P20" s="132"/>
      <c r="Q20" s="132"/>
      <c r="R20" s="132"/>
      <c r="S20" s="132"/>
      <c r="T20" s="132"/>
      <c r="U20" s="133"/>
      <c r="V20" s="134">
        <v>840000</v>
      </c>
      <c r="W20" s="134"/>
      <c r="X20" s="130"/>
      <c r="Y20" s="130">
        <f>+L20+S20-V20</f>
        <v>0</v>
      </c>
      <c r="Z20" s="130"/>
      <c r="AA20" s="303">
        <f t="shared" si="2"/>
        <v>0</v>
      </c>
      <c r="AB20" s="135" t="s">
        <v>59</v>
      </c>
      <c r="AC20" s="140" t="s">
        <v>39</v>
      </c>
      <c r="AD20" s="143" t="s">
        <v>296</v>
      </c>
      <c r="AE20" s="143" t="s">
        <v>296</v>
      </c>
      <c r="AF20" s="144" t="s">
        <v>296</v>
      </c>
      <c r="AG20" s="144" t="s">
        <v>296</v>
      </c>
      <c r="AH20" s="137" t="s">
        <v>296</v>
      </c>
      <c r="AI20" s="137" t="s">
        <v>296</v>
      </c>
      <c r="AJ20" s="143" t="s">
        <v>25</v>
      </c>
      <c r="AK20" s="127">
        <f>Ejecución!V20</f>
        <v>0</v>
      </c>
      <c r="AL20" s="127">
        <f>Ejecución!W20</f>
        <v>0</v>
      </c>
      <c r="AM20" s="127">
        <f>Ejecución!Y20</f>
        <v>0</v>
      </c>
      <c r="AN20" s="127">
        <f>Ejecución!Z20</f>
        <v>0</v>
      </c>
      <c r="AO20" s="127">
        <f>Ejecución!AB20</f>
        <v>0</v>
      </c>
      <c r="AP20" s="127">
        <f>Ejecución!AC20</f>
        <v>0</v>
      </c>
      <c r="AQ20" s="127">
        <f>Ejecución!X20</f>
        <v>0</v>
      </c>
      <c r="AR20" s="127">
        <f>Ejecución!AA20</f>
        <v>0</v>
      </c>
      <c r="AS20" s="127">
        <f>Ejecución!AD20</f>
        <v>0</v>
      </c>
      <c r="AT20" s="509" t="s">
        <v>750</v>
      </c>
    </row>
    <row r="21" spans="1:46" s="139" customFormat="1" ht="270" x14ac:dyDescent="0.25">
      <c r="A21" s="122" t="s">
        <v>592</v>
      </c>
      <c r="B21" s="123">
        <v>2203003</v>
      </c>
      <c r="C21" s="110" t="s">
        <v>469</v>
      </c>
      <c r="D21" s="124" t="s">
        <v>139</v>
      </c>
      <c r="E21" s="124" t="s">
        <v>130</v>
      </c>
      <c r="F21" s="125" t="s">
        <v>124</v>
      </c>
      <c r="G21" s="148" t="s">
        <v>133</v>
      </c>
      <c r="H21" s="127" t="s">
        <v>15</v>
      </c>
      <c r="I21" s="127" t="s">
        <v>341</v>
      </c>
      <c r="J21" s="128" t="s">
        <v>416</v>
      </c>
      <c r="K21" s="129"/>
      <c r="L21" s="149">
        <v>9600000</v>
      </c>
      <c r="M21" s="131"/>
      <c r="N21" s="304">
        <f t="shared" si="1"/>
        <v>9600000</v>
      </c>
      <c r="O21" s="132"/>
      <c r="P21" s="132"/>
      <c r="Q21" s="132"/>
      <c r="R21" s="132"/>
      <c r="S21" s="132"/>
      <c r="T21" s="132"/>
      <c r="U21" s="133"/>
      <c r="V21" s="134">
        <v>9600000</v>
      </c>
      <c r="W21" s="134"/>
      <c r="X21" s="130"/>
      <c r="Y21" s="130">
        <f>+L21+S21-V21</f>
        <v>0</v>
      </c>
      <c r="Z21" s="130"/>
      <c r="AA21" s="303">
        <f t="shared" si="2"/>
        <v>0</v>
      </c>
      <c r="AB21" s="135" t="s">
        <v>59</v>
      </c>
      <c r="AC21" s="153" t="s">
        <v>297</v>
      </c>
      <c r="AD21" s="143" t="s">
        <v>27</v>
      </c>
      <c r="AE21" s="154">
        <v>78111502</v>
      </c>
      <c r="AF21" s="144" t="s">
        <v>420</v>
      </c>
      <c r="AG21" s="144" t="s">
        <v>420</v>
      </c>
      <c r="AH21" s="137">
        <v>10</v>
      </c>
      <c r="AI21" s="137" t="s">
        <v>503</v>
      </c>
      <c r="AJ21" s="155" t="s">
        <v>16</v>
      </c>
      <c r="AK21" s="127">
        <f>Ejecución!V21</f>
        <v>0</v>
      </c>
      <c r="AL21" s="127">
        <f>Ejecución!W21</f>
        <v>0</v>
      </c>
      <c r="AM21" s="127">
        <f>Ejecución!Y21</f>
        <v>12000000</v>
      </c>
      <c r="AN21" s="127">
        <f>Ejecución!Z21</f>
        <v>0</v>
      </c>
      <c r="AO21" s="127">
        <f>Ejecución!AB21</f>
        <v>0</v>
      </c>
      <c r="AP21" s="127">
        <f>Ejecución!AC21</f>
        <v>0</v>
      </c>
      <c r="AQ21" s="127">
        <f>Ejecución!X21</f>
        <v>0</v>
      </c>
      <c r="AR21" s="127">
        <f>Ejecución!AA21</f>
        <v>0</v>
      </c>
      <c r="AS21" s="127">
        <f>Ejecución!AD21</f>
        <v>0</v>
      </c>
      <c r="AT21" s="496" t="s">
        <v>751</v>
      </c>
    </row>
    <row r="22" spans="1:46" s="139" customFormat="1" ht="129.75" customHeight="1" x14ac:dyDescent="0.25">
      <c r="A22" s="156" t="s">
        <v>613</v>
      </c>
      <c r="B22" s="123">
        <v>2203003</v>
      </c>
      <c r="C22" s="110" t="s">
        <v>469</v>
      </c>
      <c r="D22" s="124" t="s">
        <v>139</v>
      </c>
      <c r="E22" s="124" t="s">
        <v>130</v>
      </c>
      <c r="F22" s="125" t="s">
        <v>124</v>
      </c>
      <c r="G22" s="148" t="s">
        <v>133</v>
      </c>
      <c r="H22" s="127" t="s">
        <v>15</v>
      </c>
      <c r="I22" s="127" t="s">
        <v>341</v>
      </c>
      <c r="J22" s="128" t="s">
        <v>386</v>
      </c>
      <c r="K22" s="146"/>
      <c r="L22" s="130">
        <v>9372080</v>
      </c>
      <c r="M22" s="131"/>
      <c r="N22" s="304">
        <f>K22+L22+M22</f>
        <v>9372080</v>
      </c>
      <c r="O22" s="132"/>
      <c r="P22" s="132"/>
      <c r="Q22" s="132"/>
      <c r="R22" s="132"/>
      <c r="S22" s="132"/>
      <c r="T22" s="132"/>
      <c r="U22" s="133"/>
      <c r="V22" s="134">
        <v>9372080</v>
      </c>
      <c r="W22" s="134"/>
      <c r="X22" s="130"/>
      <c r="Y22" s="130">
        <f>+L22+S22-V22</f>
        <v>0</v>
      </c>
      <c r="Z22" s="130"/>
      <c r="AA22" s="303">
        <f t="shared" si="2"/>
        <v>0</v>
      </c>
      <c r="AB22" s="135" t="s">
        <v>59</v>
      </c>
      <c r="AC22" s="143" t="s">
        <v>146</v>
      </c>
      <c r="AD22" s="143" t="s">
        <v>296</v>
      </c>
      <c r="AE22" s="143" t="s">
        <v>296</v>
      </c>
      <c r="AF22" s="144" t="s">
        <v>296</v>
      </c>
      <c r="AG22" s="144" t="s">
        <v>296</v>
      </c>
      <c r="AH22" s="137" t="s">
        <v>296</v>
      </c>
      <c r="AI22" s="137" t="s">
        <v>296</v>
      </c>
      <c r="AJ22" s="143" t="s">
        <v>25</v>
      </c>
      <c r="AK22" s="127">
        <f>Ejecución!V22</f>
        <v>0</v>
      </c>
      <c r="AL22" s="127">
        <f>Ejecución!W22</f>
        <v>0</v>
      </c>
      <c r="AM22" s="127">
        <f>Ejecución!Y22</f>
        <v>31300000</v>
      </c>
      <c r="AN22" s="127">
        <f>Ejecución!Z22</f>
        <v>0</v>
      </c>
      <c r="AO22" s="127">
        <f>Ejecución!AB22</f>
        <v>0</v>
      </c>
      <c r="AP22" s="127">
        <f>Ejecución!AC22</f>
        <v>0</v>
      </c>
      <c r="AQ22" s="127">
        <f>Ejecución!X22</f>
        <v>0</v>
      </c>
      <c r="AR22" s="127">
        <f>Ejecución!AA22</f>
        <v>31300000</v>
      </c>
      <c r="AS22" s="127">
        <f>Ejecución!AD22</f>
        <v>0</v>
      </c>
      <c r="AT22" s="509" t="s">
        <v>749</v>
      </c>
    </row>
    <row r="23" spans="1:46" s="475" customFormat="1" ht="130.5" customHeight="1" x14ac:dyDescent="0.25">
      <c r="A23" s="122" t="s">
        <v>592</v>
      </c>
      <c r="B23" s="123">
        <v>2203003</v>
      </c>
      <c r="C23" s="110" t="s">
        <v>469</v>
      </c>
      <c r="D23" s="124" t="s">
        <v>139</v>
      </c>
      <c r="E23" s="124" t="s">
        <v>130</v>
      </c>
      <c r="F23" s="125" t="s">
        <v>124</v>
      </c>
      <c r="G23" s="157" t="s">
        <v>132</v>
      </c>
      <c r="H23" s="127" t="s">
        <v>15</v>
      </c>
      <c r="I23" s="127" t="s">
        <v>342</v>
      </c>
      <c r="J23" s="128" t="s">
        <v>295</v>
      </c>
      <c r="K23" s="129"/>
      <c r="L23" s="158">
        <v>560000</v>
      </c>
      <c r="M23" s="131"/>
      <c r="N23" s="304">
        <f t="shared" si="1"/>
        <v>560000</v>
      </c>
      <c r="O23" s="132"/>
      <c r="P23" s="132"/>
      <c r="Q23" s="132"/>
      <c r="R23" s="132"/>
      <c r="S23" s="132">
        <v>840000</v>
      </c>
      <c r="T23" s="132"/>
      <c r="U23" s="133"/>
      <c r="V23" s="134">
        <f>500000+840000</f>
        <v>1340000</v>
      </c>
      <c r="W23" s="134"/>
      <c r="X23" s="130"/>
      <c r="Y23" s="130">
        <f>+L23+S23-V23</f>
        <v>60000</v>
      </c>
      <c r="Z23" s="130"/>
      <c r="AA23" s="303">
        <f>+Y23+Z23+X23</f>
        <v>60000</v>
      </c>
      <c r="AB23" s="135" t="s">
        <v>59</v>
      </c>
      <c r="AC23" s="140" t="s">
        <v>39</v>
      </c>
      <c r="AD23" s="143" t="s">
        <v>296</v>
      </c>
      <c r="AE23" s="143" t="s">
        <v>296</v>
      </c>
      <c r="AF23" s="144" t="s">
        <v>296</v>
      </c>
      <c r="AG23" s="144" t="s">
        <v>296</v>
      </c>
      <c r="AH23" s="137" t="s">
        <v>296</v>
      </c>
      <c r="AI23" s="137" t="s">
        <v>296</v>
      </c>
      <c r="AJ23" s="143" t="s">
        <v>25</v>
      </c>
      <c r="AK23" s="127">
        <f>Ejecución!V23</f>
        <v>0</v>
      </c>
      <c r="AL23" s="127">
        <f>Ejecución!W23</f>
        <v>0</v>
      </c>
      <c r="AM23" s="127">
        <f>Ejecución!Y23</f>
        <v>0</v>
      </c>
      <c r="AN23" s="127">
        <f>Ejecución!Z23</f>
        <v>0</v>
      </c>
      <c r="AO23" s="127">
        <f>Ejecución!AB23</f>
        <v>0</v>
      </c>
      <c r="AP23" s="127">
        <f>Ejecución!AC23</f>
        <v>0</v>
      </c>
      <c r="AQ23" s="127">
        <f>Ejecución!X23</f>
        <v>0</v>
      </c>
      <c r="AR23" s="127">
        <f>Ejecución!AA23</f>
        <v>0</v>
      </c>
      <c r="AS23" s="127">
        <f>Ejecución!AD23</f>
        <v>0</v>
      </c>
      <c r="AT23" s="145" t="s">
        <v>1140</v>
      </c>
    </row>
    <row r="24" spans="1:46" ht="357" x14ac:dyDescent="0.25">
      <c r="A24" s="122" t="s">
        <v>592</v>
      </c>
      <c r="B24" s="123">
        <v>2203003</v>
      </c>
      <c r="C24" s="110" t="s">
        <v>469</v>
      </c>
      <c r="D24" s="124" t="s">
        <v>139</v>
      </c>
      <c r="E24" s="124" t="s">
        <v>130</v>
      </c>
      <c r="F24" s="125" t="s">
        <v>124</v>
      </c>
      <c r="G24" s="157" t="s">
        <v>132</v>
      </c>
      <c r="H24" s="127" t="s">
        <v>15</v>
      </c>
      <c r="I24" s="127" t="s">
        <v>342</v>
      </c>
      <c r="J24" s="128" t="s">
        <v>416</v>
      </c>
      <c r="K24" s="129"/>
      <c r="L24" s="158">
        <v>6400000</v>
      </c>
      <c r="M24" s="131"/>
      <c r="N24" s="304">
        <f t="shared" si="1"/>
        <v>6400000</v>
      </c>
      <c r="O24" s="132"/>
      <c r="P24" s="132"/>
      <c r="Q24" s="132"/>
      <c r="R24" s="132"/>
      <c r="S24" s="132"/>
      <c r="T24" s="132"/>
      <c r="U24" s="133"/>
      <c r="V24" s="134">
        <v>6400000</v>
      </c>
      <c r="W24" s="134"/>
      <c r="X24" s="130"/>
      <c r="Y24" s="130">
        <f>+N24-V24</f>
        <v>0</v>
      </c>
      <c r="Z24" s="130"/>
      <c r="AA24" s="303">
        <f t="shared" si="2"/>
        <v>0</v>
      </c>
      <c r="AB24" s="135" t="s">
        <v>59</v>
      </c>
      <c r="AC24" s="153" t="s">
        <v>297</v>
      </c>
      <c r="AD24" s="153" t="s">
        <v>27</v>
      </c>
      <c r="AE24" s="154">
        <v>78111502</v>
      </c>
      <c r="AF24" s="144" t="s">
        <v>420</v>
      </c>
      <c r="AG24" s="144" t="s">
        <v>420</v>
      </c>
      <c r="AH24" s="137">
        <v>10</v>
      </c>
      <c r="AI24" s="137" t="s">
        <v>503</v>
      </c>
      <c r="AJ24" s="155" t="s">
        <v>16</v>
      </c>
      <c r="AK24" s="127">
        <f>Ejecución!V24</f>
        <v>0</v>
      </c>
      <c r="AL24" s="127">
        <f>Ejecución!W24</f>
        <v>0</v>
      </c>
      <c r="AM24" s="127">
        <f>Ejecución!Y24</f>
        <v>0</v>
      </c>
      <c r="AN24" s="127">
        <f>Ejecución!Z24</f>
        <v>0</v>
      </c>
      <c r="AO24" s="127">
        <f>Ejecución!AB24</f>
        <v>0</v>
      </c>
      <c r="AP24" s="127">
        <f>Ejecución!AC24</f>
        <v>0</v>
      </c>
      <c r="AQ24" s="127">
        <f>Ejecución!X24</f>
        <v>0</v>
      </c>
      <c r="AR24" s="127">
        <f>Ejecución!AA24</f>
        <v>0</v>
      </c>
      <c r="AS24" s="127">
        <f>Ejecución!AD24</f>
        <v>0</v>
      </c>
      <c r="AT24" s="496" t="s">
        <v>1141</v>
      </c>
    </row>
    <row r="25" spans="1:46" ht="150" customHeight="1" x14ac:dyDescent="0.25">
      <c r="A25" s="156" t="s">
        <v>613</v>
      </c>
      <c r="B25" s="123">
        <v>2203003</v>
      </c>
      <c r="C25" s="110" t="s">
        <v>469</v>
      </c>
      <c r="D25" s="124" t="s">
        <v>139</v>
      </c>
      <c r="E25" s="124" t="s">
        <v>130</v>
      </c>
      <c r="F25" s="125" t="s">
        <v>124</v>
      </c>
      <c r="G25" s="157" t="s">
        <v>132</v>
      </c>
      <c r="H25" s="127" t="s">
        <v>15</v>
      </c>
      <c r="I25" s="127" t="s">
        <v>342</v>
      </c>
      <c r="J25" s="128" t="s">
        <v>386</v>
      </c>
      <c r="K25" s="160"/>
      <c r="L25" s="161">
        <v>6338465</v>
      </c>
      <c r="M25" s="131"/>
      <c r="N25" s="304">
        <f t="shared" si="1"/>
        <v>6338465</v>
      </c>
      <c r="O25" s="132"/>
      <c r="P25" s="132"/>
      <c r="Q25" s="132"/>
      <c r="R25" s="132"/>
      <c r="S25" s="132">
        <v>9372080</v>
      </c>
      <c r="T25" s="132"/>
      <c r="U25" s="133"/>
      <c r="V25" s="134">
        <f>7000000+7505990</f>
        <v>14505990</v>
      </c>
      <c r="W25" s="134"/>
      <c r="X25" s="130"/>
      <c r="Y25" s="130">
        <f>+L25+S25-V25</f>
        <v>1204555</v>
      </c>
      <c r="Z25" s="130"/>
      <c r="AA25" s="303">
        <f>+Y25+Z25+X25</f>
        <v>1204555</v>
      </c>
      <c r="AB25" s="135" t="s">
        <v>59</v>
      </c>
      <c r="AC25" s="143" t="s">
        <v>146</v>
      </c>
      <c r="AD25" s="143" t="s">
        <v>296</v>
      </c>
      <c r="AE25" s="143" t="s">
        <v>296</v>
      </c>
      <c r="AF25" s="144" t="s">
        <v>296</v>
      </c>
      <c r="AG25" s="144" t="s">
        <v>296</v>
      </c>
      <c r="AH25" s="137" t="s">
        <v>296</v>
      </c>
      <c r="AI25" s="137" t="s">
        <v>296</v>
      </c>
      <c r="AJ25" s="143" t="s">
        <v>25</v>
      </c>
      <c r="AK25" s="127">
        <f>Ejecución!V25</f>
        <v>0</v>
      </c>
      <c r="AL25" s="127">
        <f>Ejecución!W25</f>
        <v>0</v>
      </c>
      <c r="AM25" s="127">
        <f>Ejecución!Y25</f>
        <v>0</v>
      </c>
      <c r="AN25" s="127">
        <f>Ejecución!Z25</f>
        <v>0</v>
      </c>
      <c r="AO25" s="127">
        <f>Ejecución!AB25</f>
        <v>0</v>
      </c>
      <c r="AP25" s="127">
        <f>Ejecución!AC25</f>
        <v>0</v>
      </c>
      <c r="AQ25" s="127">
        <f>Ejecución!X25</f>
        <v>0</v>
      </c>
      <c r="AR25" s="127">
        <f>Ejecución!AA25</f>
        <v>0</v>
      </c>
      <c r="AS25" s="127">
        <f>Ejecución!AD25</f>
        <v>0</v>
      </c>
      <c r="AT25" s="509" t="s">
        <v>1142</v>
      </c>
    </row>
    <row r="26" spans="1:46" s="139" customFormat="1" ht="210" x14ac:dyDescent="0.25">
      <c r="A26" s="122" t="s">
        <v>612</v>
      </c>
      <c r="B26" s="123">
        <v>2203003</v>
      </c>
      <c r="C26" s="110" t="s">
        <v>469</v>
      </c>
      <c r="D26" s="124" t="s">
        <v>139</v>
      </c>
      <c r="E26" s="124" t="s">
        <v>130</v>
      </c>
      <c r="F26" s="125" t="s">
        <v>124</v>
      </c>
      <c r="G26" s="162" t="s">
        <v>86</v>
      </c>
      <c r="H26" s="127" t="s">
        <v>28</v>
      </c>
      <c r="I26" s="127" t="s">
        <v>28</v>
      </c>
      <c r="J26" s="127" t="s">
        <v>415</v>
      </c>
      <c r="K26" s="163"/>
      <c r="L26" s="164">
        <v>17119672</v>
      </c>
      <c r="M26" s="131"/>
      <c r="N26" s="304">
        <f t="shared" si="1"/>
        <v>17119672</v>
      </c>
      <c r="O26" s="132"/>
      <c r="P26" s="132"/>
      <c r="Q26" s="132"/>
      <c r="R26" s="132"/>
      <c r="S26" s="132">
        <v>7000000</v>
      </c>
      <c r="T26" s="132"/>
      <c r="U26" s="165"/>
      <c r="V26" s="165"/>
      <c r="W26" s="165"/>
      <c r="X26" s="130"/>
      <c r="Y26" s="130">
        <f>+N26+S26</f>
        <v>24119672</v>
      </c>
      <c r="Z26" s="130"/>
      <c r="AA26" s="303">
        <f>+Y26+Z26+X26</f>
        <v>24119672</v>
      </c>
      <c r="AB26" s="135" t="s">
        <v>59</v>
      </c>
      <c r="AC26" s="140" t="s">
        <v>30</v>
      </c>
      <c r="AD26" s="140" t="s">
        <v>143</v>
      </c>
      <c r="AE26" s="141">
        <v>80141902</v>
      </c>
      <c r="AF26" s="142" t="s">
        <v>425</v>
      </c>
      <c r="AG26" s="142" t="s">
        <v>425</v>
      </c>
      <c r="AH26" s="137">
        <v>2</v>
      </c>
      <c r="AI26" s="137" t="s">
        <v>503</v>
      </c>
      <c r="AJ26" s="143" t="s">
        <v>16</v>
      </c>
      <c r="AK26" s="127">
        <f>Ejecución!V26</f>
        <v>0</v>
      </c>
      <c r="AL26" s="127">
        <f>Ejecución!W26</f>
        <v>0</v>
      </c>
      <c r="AM26" s="127">
        <f>Ejecución!Y26</f>
        <v>60000</v>
      </c>
      <c r="AN26" s="127">
        <f>Ejecución!Z26</f>
        <v>0</v>
      </c>
      <c r="AO26" s="127">
        <f>Ejecución!AB26</f>
        <v>0</v>
      </c>
      <c r="AP26" s="127">
        <f>Ejecución!AC26</f>
        <v>0</v>
      </c>
      <c r="AQ26" s="127">
        <f>Ejecución!X26</f>
        <v>0</v>
      </c>
      <c r="AR26" s="127">
        <f>Ejecución!AA26</f>
        <v>60000</v>
      </c>
      <c r="AS26" s="127">
        <f>Ejecución!AD26</f>
        <v>0</v>
      </c>
      <c r="AT26" s="497" t="s">
        <v>1071</v>
      </c>
    </row>
    <row r="27" spans="1:46" s="139" customFormat="1" ht="210" x14ac:dyDescent="0.25">
      <c r="A27" s="122" t="s">
        <v>587</v>
      </c>
      <c r="B27" s="123">
        <v>2203003</v>
      </c>
      <c r="C27" s="110" t="s">
        <v>469</v>
      </c>
      <c r="D27" s="124" t="s">
        <v>139</v>
      </c>
      <c r="E27" s="124" t="s">
        <v>130</v>
      </c>
      <c r="F27" s="125" t="s">
        <v>124</v>
      </c>
      <c r="G27" s="162" t="s">
        <v>86</v>
      </c>
      <c r="H27" s="127" t="s">
        <v>28</v>
      </c>
      <c r="I27" s="127" t="s">
        <v>28</v>
      </c>
      <c r="J27" s="168" t="s">
        <v>512</v>
      </c>
      <c r="K27" s="164">
        <f>3289750*11</f>
        <v>36187250</v>
      </c>
      <c r="L27" s="169"/>
      <c r="M27" s="131"/>
      <c r="N27" s="304">
        <f t="shared" si="1"/>
        <v>36187250</v>
      </c>
      <c r="O27" s="132"/>
      <c r="P27" s="132"/>
      <c r="Q27" s="132"/>
      <c r="R27" s="132"/>
      <c r="S27" s="132"/>
      <c r="T27" s="132"/>
      <c r="U27" s="165"/>
      <c r="V27" s="165"/>
      <c r="W27" s="165"/>
      <c r="X27" s="130">
        <v>36187250</v>
      </c>
      <c r="Y27" s="110"/>
      <c r="Z27" s="130"/>
      <c r="AA27" s="303">
        <f>+Y27+Z27+X27</f>
        <v>36187250</v>
      </c>
      <c r="AB27" s="135" t="s">
        <v>59</v>
      </c>
      <c r="AC27" s="143" t="s">
        <v>14</v>
      </c>
      <c r="AD27" s="143" t="s">
        <v>143</v>
      </c>
      <c r="AE27" s="143">
        <v>80101505</v>
      </c>
      <c r="AF27" s="144" t="s">
        <v>419</v>
      </c>
      <c r="AG27" s="144" t="s">
        <v>419</v>
      </c>
      <c r="AH27" s="137">
        <v>11</v>
      </c>
      <c r="AI27" s="137" t="s">
        <v>503</v>
      </c>
      <c r="AJ27" s="143" t="s">
        <v>16</v>
      </c>
      <c r="AK27" s="127">
        <f>Ejecución!V27</f>
        <v>0</v>
      </c>
      <c r="AL27" s="127">
        <f>Ejecución!W27</f>
        <v>0</v>
      </c>
      <c r="AM27" s="127">
        <f>Ejecución!Y27</f>
        <v>0</v>
      </c>
      <c r="AN27" s="127">
        <f>Ejecución!Z27</f>
        <v>0</v>
      </c>
      <c r="AO27" s="127">
        <f>Ejecución!AB27</f>
        <v>0</v>
      </c>
      <c r="AP27" s="127">
        <f>Ejecución!AC27</f>
        <v>0</v>
      </c>
      <c r="AQ27" s="127">
        <f>Ejecución!X27</f>
        <v>0</v>
      </c>
      <c r="AR27" s="127">
        <f>Ejecución!AA27</f>
        <v>0</v>
      </c>
      <c r="AS27" s="127">
        <f>Ejecución!AD27</f>
        <v>0</v>
      </c>
      <c r="AT27" s="497"/>
    </row>
    <row r="28" spans="1:46" s="139" customFormat="1" ht="211.5" customHeight="1" x14ac:dyDescent="0.25">
      <c r="A28" s="122" t="s">
        <v>587</v>
      </c>
      <c r="B28" s="123">
        <v>2203003</v>
      </c>
      <c r="C28" s="110" t="s">
        <v>469</v>
      </c>
      <c r="D28" s="124" t="s">
        <v>139</v>
      </c>
      <c r="E28" s="124" t="s">
        <v>130</v>
      </c>
      <c r="F28" s="125" t="s">
        <v>124</v>
      </c>
      <c r="G28" s="162" t="s">
        <v>86</v>
      </c>
      <c r="H28" s="127" t="s">
        <v>28</v>
      </c>
      <c r="I28" s="127" t="s">
        <v>28</v>
      </c>
      <c r="J28" s="168" t="s">
        <v>513</v>
      </c>
      <c r="K28" s="164">
        <f>3289750*11</f>
        <v>36187250</v>
      </c>
      <c r="L28" s="169"/>
      <c r="M28" s="131"/>
      <c r="N28" s="304">
        <f t="shared" si="1"/>
        <v>36187250</v>
      </c>
      <c r="O28" s="132"/>
      <c r="P28" s="132"/>
      <c r="Q28" s="132"/>
      <c r="R28" s="132"/>
      <c r="S28" s="132"/>
      <c r="T28" s="132"/>
      <c r="U28" s="144"/>
      <c r="V28" s="144"/>
      <c r="W28" s="144"/>
      <c r="X28" s="130">
        <v>36187250</v>
      </c>
      <c r="Y28" s="110"/>
      <c r="Z28" s="130"/>
      <c r="AA28" s="303">
        <f>+Y28+Z28+X28</f>
        <v>36187250</v>
      </c>
      <c r="AB28" s="135" t="s">
        <v>59</v>
      </c>
      <c r="AC28" s="143" t="s">
        <v>79</v>
      </c>
      <c r="AD28" s="143" t="s">
        <v>143</v>
      </c>
      <c r="AE28" s="143">
        <v>80101505</v>
      </c>
      <c r="AF28" s="144" t="s">
        <v>419</v>
      </c>
      <c r="AG28" s="144" t="s">
        <v>419</v>
      </c>
      <c r="AH28" s="137">
        <v>11</v>
      </c>
      <c r="AI28" s="137" t="s">
        <v>503</v>
      </c>
      <c r="AJ28" s="143" t="s">
        <v>16</v>
      </c>
      <c r="AK28" s="127">
        <f>Ejecución!V28</f>
        <v>0</v>
      </c>
      <c r="AL28" s="127">
        <f>Ejecución!W28</f>
        <v>0</v>
      </c>
      <c r="AM28" s="127">
        <f>Ejecución!Y28</f>
        <v>1204555</v>
      </c>
      <c r="AN28" s="127">
        <f>Ejecución!Z28</f>
        <v>0</v>
      </c>
      <c r="AO28" s="127">
        <f>Ejecución!AB28</f>
        <v>0</v>
      </c>
      <c r="AP28" s="127">
        <f>Ejecución!AC28</f>
        <v>0</v>
      </c>
      <c r="AQ28" s="127">
        <f>Ejecución!X28</f>
        <v>0</v>
      </c>
      <c r="AR28" s="127">
        <f>Ejecución!AA28</f>
        <v>1204555</v>
      </c>
      <c r="AS28" s="127">
        <f>Ejecución!AD28</f>
        <v>0</v>
      </c>
      <c r="AT28" s="498"/>
    </row>
    <row r="29" spans="1:46" s="139" customFormat="1" ht="408" x14ac:dyDescent="0.25">
      <c r="A29" s="122" t="s">
        <v>600</v>
      </c>
      <c r="B29" s="123">
        <v>2203003</v>
      </c>
      <c r="C29" s="110" t="s">
        <v>469</v>
      </c>
      <c r="D29" s="124" t="s">
        <v>139</v>
      </c>
      <c r="E29" s="124" t="s">
        <v>130</v>
      </c>
      <c r="F29" s="125" t="s">
        <v>124</v>
      </c>
      <c r="G29" s="162" t="s">
        <v>86</v>
      </c>
      <c r="H29" s="127" t="s">
        <v>28</v>
      </c>
      <c r="I29" s="127" t="s">
        <v>28</v>
      </c>
      <c r="J29" s="168" t="s">
        <v>510</v>
      </c>
      <c r="K29" s="163"/>
      <c r="L29" s="164">
        <v>23000000</v>
      </c>
      <c r="M29" s="131"/>
      <c r="N29" s="304">
        <f t="shared" si="1"/>
        <v>23000000</v>
      </c>
      <c r="O29" s="132"/>
      <c r="P29" s="132"/>
      <c r="Q29" s="132"/>
      <c r="R29" s="132"/>
      <c r="S29" s="132"/>
      <c r="T29" s="132"/>
      <c r="U29" s="165"/>
      <c r="V29" s="165">
        <f>3800000+19200000</f>
        <v>23000000</v>
      </c>
      <c r="W29" s="165"/>
      <c r="X29" s="130"/>
      <c r="Y29" s="130">
        <f>+L29-V29</f>
        <v>0</v>
      </c>
      <c r="Z29" s="130"/>
      <c r="AA29" s="303">
        <f>+Y29+Z29+X29</f>
        <v>0</v>
      </c>
      <c r="AB29" s="135" t="s">
        <v>59</v>
      </c>
      <c r="AC29" s="143" t="s">
        <v>14</v>
      </c>
      <c r="AD29" s="143" t="s">
        <v>143</v>
      </c>
      <c r="AE29" s="143">
        <v>43202010</v>
      </c>
      <c r="AF29" s="144" t="s">
        <v>68</v>
      </c>
      <c r="AG29" s="144" t="s">
        <v>68</v>
      </c>
      <c r="AH29" s="137">
        <v>1</v>
      </c>
      <c r="AI29" s="137" t="s">
        <v>503</v>
      </c>
      <c r="AJ29" s="143" t="s">
        <v>467</v>
      </c>
      <c r="AK29" s="127">
        <f>Ejecución!V29</f>
        <v>0</v>
      </c>
      <c r="AL29" s="127">
        <f>Ejecución!W29</f>
        <v>0</v>
      </c>
      <c r="AM29" s="127">
        <f>Ejecución!Y29</f>
        <v>24119672</v>
      </c>
      <c r="AN29" s="127">
        <f>Ejecución!Z29</f>
        <v>0</v>
      </c>
      <c r="AO29" s="127">
        <f>Ejecución!AB29</f>
        <v>0</v>
      </c>
      <c r="AP29" s="127">
        <f>Ejecución!AC29</f>
        <v>0</v>
      </c>
      <c r="AQ29" s="127">
        <f>Ejecución!X29</f>
        <v>0</v>
      </c>
      <c r="AR29" s="127">
        <f>Ejecución!AA29</f>
        <v>0</v>
      </c>
      <c r="AS29" s="127">
        <f>Ejecución!AD29</f>
        <v>0</v>
      </c>
      <c r="AT29" s="497" t="s">
        <v>966</v>
      </c>
    </row>
    <row r="30" spans="1:46" s="139" customFormat="1" ht="210" x14ac:dyDescent="0.25">
      <c r="A30" s="122" t="s">
        <v>587</v>
      </c>
      <c r="B30" s="123">
        <v>2203003</v>
      </c>
      <c r="C30" s="110" t="s">
        <v>469</v>
      </c>
      <c r="D30" s="124" t="s">
        <v>139</v>
      </c>
      <c r="E30" s="124" t="s">
        <v>130</v>
      </c>
      <c r="F30" s="125" t="s">
        <v>124</v>
      </c>
      <c r="G30" s="162" t="s">
        <v>86</v>
      </c>
      <c r="H30" s="127" t="s">
        <v>28</v>
      </c>
      <c r="I30" s="127" t="s">
        <v>28</v>
      </c>
      <c r="J30" s="168" t="s">
        <v>511</v>
      </c>
      <c r="K30" s="170">
        <f>3813988*11</f>
        <v>41953868</v>
      </c>
      <c r="L30" s="169"/>
      <c r="M30" s="131"/>
      <c r="N30" s="304">
        <f t="shared" si="1"/>
        <v>41953868</v>
      </c>
      <c r="O30" s="132"/>
      <c r="P30" s="132"/>
      <c r="Q30" s="132"/>
      <c r="R30" s="132"/>
      <c r="S30" s="132"/>
      <c r="T30" s="132"/>
      <c r="U30" s="171"/>
      <c r="V30" s="172"/>
      <c r="W30" s="172"/>
      <c r="X30" s="130">
        <v>41953868</v>
      </c>
      <c r="Y30" s="110"/>
      <c r="Z30" s="130"/>
      <c r="AA30" s="303">
        <f t="shared" si="2"/>
        <v>41953868</v>
      </c>
      <c r="AB30" s="135" t="s">
        <v>59</v>
      </c>
      <c r="AC30" s="143" t="s">
        <v>14</v>
      </c>
      <c r="AD30" s="143" t="s">
        <v>143</v>
      </c>
      <c r="AE30" s="143">
        <v>83121700</v>
      </c>
      <c r="AF30" s="144" t="s">
        <v>419</v>
      </c>
      <c r="AG30" s="144" t="s">
        <v>419</v>
      </c>
      <c r="AH30" s="137">
        <v>11</v>
      </c>
      <c r="AI30" s="137" t="s">
        <v>503</v>
      </c>
      <c r="AJ30" s="143" t="s">
        <v>16</v>
      </c>
      <c r="AK30" s="127">
        <f>Ejecución!V30</f>
        <v>36187250</v>
      </c>
      <c r="AL30" s="127">
        <f>Ejecución!W30</f>
        <v>0</v>
      </c>
      <c r="AM30" s="127">
        <f>Ejecución!Y30</f>
        <v>0</v>
      </c>
      <c r="AN30" s="127">
        <f>Ejecución!Z30</f>
        <v>0</v>
      </c>
      <c r="AO30" s="127">
        <f>Ejecución!AB30</f>
        <v>0</v>
      </c>
      <c r="AP30" s="127">
        <f>Ejecución!AC30</f>
        <v>0</v>
      </c>
      <c r="AQ30" s="127">
        <f>Ejecución!X30</f>
        <v>36187250</v>
      </c>
      <c r="AR30" s="127">
        <f>Ejecución!AA30</f>
        <v>0</v>
      </c>
      <c r="AS30" s="127">
        <f>Ejecución!AD30</f>
        <v>0</v>
      </c>
      <c r="AT30" s="497"/>
    </row>
    <row r="31" spans="1:46" ht="210" x14ac:dyDescent="0.25">
      <c r="A31" s="122" t="s">
        <v>587</v>
      </c>
      <c r="B31" s="123">
        <v>2203003</v>
      </c>
      <c r="C31" s="110" t="s">
        <v>469</v>
      </c>
      <c r="D31" s="124" t="s">
        <v>139</v>
      </c>
      <c r="E31" s="124" t="s">
        <v>130</v>
      </c>
      <c r="F31" s="125" t="s">
        <v>124</v>
      </c>
      <c r="G31" s="162" t="s">
        <v>86</v>
      </c>
      <c r="H31" s="127" t="s">
        <v>28</v>
      </c>
      <c r="I31" s="127" t="s">
        <v>28</v>
      </c>
      <c r="J31" s="168" t="s">
        <v>509</v>
      </c>
      <c r="K31" s="173">
        <f>3100000*11</f>
        <v>34100000</v>
      </c>
      <c r="L31" s="174"/>
      <c r="M31" s="131"/>
      <c r="N31" s="304">
        <f t="shared" si="1"/>
        <v>34100000</v>
      </c>
      <c r="O31" s="132"/>
      <c r="P31" s="132"/>
      <c r="Q31" s="132"/>
      <c r="R31" s="132"/>
      <c r="S31" s="132"/>
      <c r="T31" s="132"/>
      <c r="U31" s="172"/>
      <c r="V31" s="172"/>
      <c r="W31" s="172"/>
      <c r="X31" s="130">
        <v>34100000</v>
      </c>
      <c r="Y31" s="476"/>
      <c r="Z31" s="130"/>
      <c r="AA31" s="303">
        <f t="shared" si="2"/>
        <v>34100000</v>
      </c>
      <c r="AB31" s="135" t="s">
        <v>59</v>
      </c>
      <c r="AC31" s="143" t="s">
        <v>14</v>
      </c>
      <c r="AD31" s="143" t="s">
        <v>143</v>
      </c>
      <c r="AE31" s="143">
        <v>80101505</v>
      </c>
      <c r="AF31" s="142" t="s">
        <v>419</v>
      </c>
      <c r="AG31" s="142" t="s">
        <v>419</v>
      </c>
      <c r="AH31" s="137">
        <v>11</v>
      </c>
      <c r="AI31" s="137" t="s">
        <v>503</v>
      </c>
      <c r="AJ31" s="143" t="s">
        <v>16</v>
      </c>
      <c r="AK31" s="127">
        <f>Ejecución!V31</f>
        <v>36187250</v>
      </c>
      <c r="AL31" s="127">
        <f>Ejecución!W31</f>
        <v>0</v>
      </c>
      <c r="AM31" s="127">
        <f>Ejecución!Y31</f>
        <v>0</v>
      </c>
      <c r="AN31" s="127">
        <f>Ejecución!Z31</f>
        <v>0</v>
      </c>
      <c r="AO31" s="127">
        <f>Ejecución!AB31</f>
        <v>0</v>
      </c>
      <c r="AP31" s="127">
        <f>Ejecución!AC31</f>
        <v>0</v>
      </c>
      <c r="AQ31" s="127">
        <f>Ejecución!X31</f>
        <v>36187250</v>
      </c>
      <c r="AR31" s="127">
        <f>Ejecución!AA31</f>
        <v>0</v>
      </c>
      <c r="AS31" s="127">
        <f>Ejecución!AD31</f>
        <v>0</v>
      </c>
      <c r="AT31" s="498"/>
    </row>
    <row r="32" spans="1:46" ht="357.75" x14ac:dyDescent="0.25">
      <c r="A32" s="122" t="s">
        <v>591</v>
      </c>
      <c r="B32" s="123">
        <v>2203018</v>
      </c>
      <c r="C32" s="110" t="s">
        <v>470</v>
      </c>
      <c r="D32" s="124" t="s">
        <v>139</v>
      </c>
      <c r="E32" s="124" t="s">
        <v>130</v>
      </c>
      <c r="F32" s="175" t="s">
        <v>586</v>
      </c>
      <c r="G32" s="176" t="s">
        <v>131</v>
      </c>
      <c r="H32" s="127" t="s">
        <v>15</v>
      </c>
      <c r="I32" s="127" t="s">
        <v>170</v>
      </c>
      <c r="J32" s="159" t="s">
        <v>291</v>
      </c>
      <c r="K32" s="166">
        <v>4000000</v>
      </c>
      <c r="L32" s="166"/>
      <c r="M32" s="166">
        <v>4000000</v>
      </c>
      <c r="N32" s="304">
        <f t="shared" si="1"/>
        <v>8000000</v>
      </c>
      <c r="O32" s="132"/>
      <c r="P32" s="132">
        <v>2500000</v>
      </c>
      <c r="Q32" s="132"/>
      <c r="R32" s="132"/>
      <c r="S32" s="132"/>
      <c r="T32" s="132"/>
      <c r="U32" s="177"/>
      <c r="V32" s="178">
        <f>1535217+964783</f>
        <v>2500000</v>
      </c>
      <c r="W32" s="178"/>
      <c r="X32" s="130">
        <v>4000000</v>
      </c>
      <c r="Y32" s="130">
        <f>+L32+P32+S32-V32</f>
        <v>0</v>
      </c>
      <c r="Z32" s="130">
        <v>4000000</v>
      </c>
      <c r="AA32" s="303">
        <f t="shared" si="2"/>
        <v>8000000</v>
      </c>
      <c r="AB32" s="135" t="s">
        <v>59</v>
      </c>
      <c r="AC32" s="143" t="s">
        <v>14</v>
      </c>
      <c r="AD32" s="143" t="s">
        <v>27</v>
      </c>
      <c r="AE32" s="143" t="s">
        <v>1084</v>
      </c>
      <c r="AF32" s="142" t="s">
        <v>420</v>
      </c>
      <c r="AG32" s="142" t="s">
        <v>420</v>
      </c>
      <c r="AH32" s="137" t="s">
        <v>87</v>
      </c>
      <c r="AI32" s="137" t="s">
        <v>503</v>
      </c>
      <c r="AJ32" s="152" t="s">
        <v>16</v>
      </c>
      <c r="AK32" s="127">
        <f>Ejecución!V32</f>
        <v>41953868</v>
      </c>
      <c r="AL32" s="127">
        <f>Ejecución!W32</f>
        <v>0</v>
      </c>
      <c r="AM32" s="127">
        <f>Ejecución!Y32</f>
        <v>0</v>
      </c>
      <c r="AN32" s="127">
        <f>Ejecución!Z32</f>
        <v>0</v>
      </c>
      <c r="AO32" s="127">
        <f>Ejecución!AB32</f>
        <v>0</v>
      </c>
      <c r="AP32" s="127">
        <f>Ejecución!AC32</f>
        <v>0</v>
      </c>
      <c r="AQ32" s="127">
        <f>Ejecución!X32</f>
        <v>41953868</v>
      </c>
      <c r="AR32" s="127">
        <f>Ejecución!AA32</f>
        <v>0</v>
      </c>
      <c r="AS32" s="127">
        <f>Ejecución!AD32</f>
        <v>0</v>
      </c>
      <c r="AT32" s="497" t="s">
        <v>1151</v>
      </c>
    </row>
    <row r="33" spans="1:46" s="475" customFormat="1" ht="240" x14ac:dyDescent="0.25">
      <c r="A33" s="122" t="s">
        <v>614</v>
      </c>
      <c r="B33" s="123">
        <v>2203018</v>
      </c>
      <c r="C33" s="110" t="s">
        <v>470</v>
      </c>
      <c r="D33" s="124" t="s">
        <v>139</v>
      </c>
      <c r="E33" s="124" t="s">
        <v>130</v>
      </c>
      <c r="F33" s="175" t="s">
        <v>586</v>
      </c>
      <c r="G33" s="179" t="s">
        <v>294</v>
      </c>
      <c r="H33" s="127" t="s">
        <v>460</v>
      </c>
      <c r="I33" s="127" t="s">
        <v>60</v>
      </c>
      <c r="J33" s="180" t="s">
        <v>65</v>
      </c>
      <c r="K33" s="181"/>
      <c r="L33" s="182">
        <v>20000000</v>
      </c>
      <c r="M33" s="166"/>
      <c r="N33" s="304">
        <f t="shared" si="1"/>
        <v>20000000</v>
      </c>
      <c r="O33" s="132"/>
      <c r="P33" s="132"/>
      <c r="Q33" s="132"/>
      <c r="R33" s="132"/>
      <c r="S33" s="132"/>
      <c r="T33" s="132"/>
      <c r="U33" s="183"/>
      <c r="V33" s="184">
        <v>20000000</v>
      </c>
      <c r="W33" s="184"/>
      <c r="X33" s="185"/>
      <c r="Y33" s="130">
        <f t="shared" ref="Y33:Y86" si="6">+L33+P33-V33+S33</f>
        <v>0</v>
      </c>
      <c r="Z33" s="185"/>
      <c r="AA33" s="303">
        <f t="shared" si="2"/>
        <v>0</v>
      </c>
      <c r="AB33" s="186" t="s">
        <v>59</v>
      </c>
      <c r="AC33" s="127" t="s">
        <v>14</v>
      </c>
      <c r="AD33" s="143" t="s">
        <v>32</v>
      </c>
      <c r="AE33" s="143"/>
      <c r="AF33" s="144" t="s">
        <v>695</v>
      </c>
      <c r="AG33" s="144" t="s">
        <v>695</v>
      </c>
      <c r="AH33" s="136" t="s">
        <v>696</v>
      </c>
      <c r="AI33" s="137" t="s">
        <v>503</v>
      </c>
      <c r="AJ33" s="143" t="s">
        <v>418</v>
      </c>
      <c r="AK33" s="127">
        <f>Ejecución!V33</f>
        <v>34100000</v>
      </c>
      <c r="AL33" s="127">
        <f>Ejecución!W33</f>
        <v>0</v>
      </c>
      <c r="AM33" s="127">
        <f>Ejecución!Y33</f>
        <v>0</v>
      </c>
      <c r="AN33" s="127">
        <f>Ejecución!Z33</f>
        <v>0</v>
      </c>
      <c r="AO33" s="127">
        <f>Ejecución!AB33</f>
        <v>0</v>
      </c>
      <c r="AP33" s="127">
        <f>Ejecución!AC33</f>
        <v>0</v>
      </c>
      <c r="AQ33" s="127">
        <f>Ejecución!X33</f>
        <v>34100000</v>
      </c>
      <c r="AR33" s="127">
        <f>Ejecución!AA33</f>
        <v>0</v>
      </c>
      <c r="AS33" s="127">
        <f>Ejecución!AD33</f>
        <v>0</v>
      </c>
      <c r="AT33" s="497" t="s">
        <v>859</v>
      </c>
    </row>
    <row r="34" spans="1:46" ht="240" x14ac:dyDescent="0.25">
      <c r="A34" s="122" t="s">
        <v>587</v>
      </c>
      <c r="B34" s="123">
        <v>2203018</v>
      </c>
      <c r="C34" s="110" t="s">
        <v>470</v>
      </c>
      <c r="D34" s="124" t="s">
        <v>139</v>
      </c>
      <c r="E34" s="124" t="s">
        <v>130</v>
      </c>
      <c r="F34" s="175" t="s">
        <v>586</v>
      </c>
      <c r="G34" s="179" t="s">
        <v>294</v>
      </c>
      <c r="H34" s="127" t="s">
        <v>460</v>
      </c>
      <c r="I34" s="127" t="s">
        <v>60</v>
      </c>
      <c r="J34" s="127" t="s">
        <v>144</v>
      </c>
      <c r="K34" s="181"/>
      <c r="L34" s="187">
        <f>2700000*11*1.05</f>
        <v>31185000</v>
      </c>
      <c r="M34" s="166"/>
      <c r="N34" s="304">
        <f t="shared" si="1"/>
        <v>31185000</v>
      </c>
      <c r="O34" s="132"/>
      <c r="P34" s="132"/>
      <c r="Q34" s="132"/>
      <c r="R34" s="132"/>
      <c r="S34" s="132"/>
      <c r="T34" s="132"/>
      <c r="U34" s="188"/>
      <c r="V34" s="188">
        <v>945000</v>
      </c>
      <c r="W34" s="188"/>
      <c r="X34" s="130"/>
      <c r="Y34" s="130">
        <f t="shared" si="6"/>
        <v>30240000</v>
      </c>
      <c r="Z34" s="130"/>
      <c r="AA34" s="303">
        <f t="shared" si="2"/>
        <v>30240000</v>
      </c>
      <c r="AB34" s="135" t="s">
        <v>59</v>
      </c>
      <c r="AC34" s="143" t="s">
        <v>14</v>
      </c>
      <c r="AD34" s="143" t="s">
        <v>32</v>
      </c>
      <c r="AE34" s="143">
        <v>80101505</v>
      </c>
      <c r="AF34" s="144" t="s">
        <v>431</v>
      </c>
      <c r="AG34" s="144" t="s">
        <v>431</v>
      </c>
      <c r="AH34" s="137">
        <v>11</v>
      </c>
      <c r="AI34" s="137" t="s">
        <v>503</v>
      </c>
      <c r="AJ34" s="143" t="s">
        <v>16</v>
      </c>
      <c r="AK34" s="127">
        <f>Ejecución!V34</f>
        <v>4000000</v>
      </c>
      <c r="AL34" s="127">
        <f>Ejecución!W34</f>
        <v>0</v>
      </c>
      <c r="AM34" s="127">
        <f>Ejecución!Y34</f>
        <v>0</v>
      </c>
      <c r="AN34" s="127">
        <f>Ejecución!Z34</f>
        <v>0</v>
      </c>
      <c r="AO34" s="127">
        <f>Ejecución!AB34</f>
        <v>4000000</v>
      </c>
      <c r="AP34" s="127">
        <f>Ejecución!AC34</f>
        <v>0</v>
      </c>
      <c r="AQ34" s="127">
        <f>Ejecución!X34</f>
        <v>4000000</v>
      </c>
      <c r="AR34" s="127">
        <f>Ejecución!AA34</f>
        <v>0</v>
      </c>
      <c r="AS34" s="127">
        <f>Ejecución!AD34</f>
        <v>2099150</v>
      </c>
      <c r="AT34" s="497" t="s">
        <v>951</v>
      </c>
    </row>
    <row r="35" spans="1:46" ht="409.5" x14ac:dyDescent="0.25">
      <c r="A35" s="122" t="s">
        <v>592</v>
      </c>
      <c r="B35" s="123">
        <v>2203018</v>
      </c>
      <c r="C35" s="110" t="s">
        <v>470</v>
      </c>
      <c r="D35" s="124" t="s">
        <v>139</v>
      </c>
      <c r="E35" s="124" t="s">
        <v>130</v>
      </c>
      <c r="F35" s="175" t="s">
        <v>586</v>
      </c>
      <c r="G35" s="179" t="s">
        <v>294</v>
      </c>
      <c r="H35" s="127" t="s">
        <v>460</v>
      </c>
      <c r="I35" s="127" t="s">
        <v>60</v>
      </c>
      <c r="J35" s="180" t="s">
        <v>878</v>
      </c>
      <c r="K35" s="181"/>
      <c r="L35" s="111">
        <v>4800006</v>
      </c>
      <c r="M35" s="166"/>
      <c r="N35" s="304">
        <f t="shared" si="1"/>
        <v>4800006</v>
      </c>
      <c r="O35" s="132"/>
      <c r="P35" s="132"/>
      <c r="Q35" s="132"/>
      <c r="R35" s="132"/>
      <c r="S35" s="132">
        <v>4200000</v>
      </c>
      <c r="T35" s="132"/>
      <c r="U35" s="183"/>
      <c r="V35" s="184">
        <v>4800006</v>
      </c>
      <c r="W35" s="184"/>
      <c r="X35" s="130"/>
      <c r="Y35" s="130">
        <f t="shared" si="6"/>
        <v>4200000</v>
      </c>
      <c r="Z35" s="130"/>
      <c r="AA35" s="303">
        <f t="shared" si="2"/>
        <v>4200000</v>
      </c>
      <c r="AB35" s="135" t="s">
        <v>59</v>
      </c>
      <c r="AC35" s="143" t="s">
        <v>297</v>
      </c>
      <c r="AD35" s="143" t="s">
        <v>27</v>
      </c>
      <c r="AE35" s="143">
        <v>78111502</v>
      </c>
      <c r="AF35" s="136" t="s">
        <v>420</v>
      </c>
      <c r="AG35" s="136" t="s">
        <v>420</v>
      </c>
      <c r="AH35" s="137">
        <v>10</v>
      </c>
      <c r="AI35" s="137" t="s">
        <v>503</v>
      </c>
      <c r="AJ35" s="143" t="s">
        <v>16</v>
      </c>
      <c r="AK35" s="127">
        <f>Ejecución!V35</f>
        <v>0</v>
      </c>
      <c r="AL35" s="127">
        <f>Ejecución!W35</f>
        <v>0</v>
      </c>
      <c r="AM35" s="127">
        <f>Ejecución!Y35</f>
        <v>0</v>
      </c>
      <c r="AN35" s="127">
        <f>Ejecución!Z35</f>
        <v>0</v>
      </c>
      <c r="AO35" s="127">
        <f>Ejecución!AB35</f>
        <v>0</v>
      </c>
      <c r="AP35" s="127">
        <f>Ejecución!AC35</f>
        <v>0</v>
      </c>
      <c r="AQ35" s="127">
        <f>Ejecución!X35</f>
        <v>0</v>
      </c>
      <c r="AR35" s="127">
        <f>Ejecución!AA35</f>
        <v>0</v>
      </c>
      <c r="AS35" s="127">
        <f>Ejecución!AD35</f>
        <v>0</v>
      </c>
      <c r="AT35" s="497" t="s">
        <v>1128</v>
      </c>
    </row>
    <row r="36" spans="1:46" ht="139.5" customHeight="1" x14ac:dyDescent="0.25">
      <c r="A36" s="122" t="s">
        <v>592</v>
      </c>
      <c r="B36" s="123">
        <v>2203018</v>
      </c>
      <c r="C36" s="110" t="s">
        <v>470</v>
      </c>
      <c r="D36" s="124" t="s">
        <v>139</v>
      </c>
      <c r="E36" s="124" t="s">
        <v>130</v>
      </c>
      <c r="F36" s="175" t="s">
        <v>586</v>
      </c>
      <c r="G36" s="179" t="s">
        <v>294</v>
      </c>
      <c r="H36" s="127" t="s">
        <v>922</v>
      </c>
      <c r="I36" s="127" t="s">
        <v>60</v>
      </c>
      <c r="J36" s="180" t="s">
        <v>384</v>
      </c>
      <c r="K36" s="181"/>
      <c r="L36" s="111">
        <v>420000</v>
      </c>
      <c r="M36" s="166"/>
      <c r="N36" s="304">
        <f t="shared" si="1"/>
        <v>420000</v>
      </c>
      <c r="O36" s="132"/>
      <c r="P36" s="132"/>
      <c r="Q36" s="132"/>
      <c r="R36" s="132"/>
      <c r="S36" s="132">
        <f>600000+395475</f>
        <v>995475</v>
      </c>
      <c r="T36" s="132"/>
      <c r="U36" s="183"/>
      <c r="V36" s="184">
        <v>354075</v>
      </c>
      <c r="W36" s="184"/>
      <c r="X36" s="130"/>
      <c r="Y36" s="130">
        <f t="shared" si="6"/>
        <v>1061400</v>
      </c>
      <c r="Z36" s="130"/>
      <c r="AA36" s="303">
        <f t="shared" si="2"/>
        <v>1061400</v>
      </c>
      <c r="AB36" s="135" t="s">
        <v>59</v>
      </c>
      <c r="AC36" s="143" t="s">
        <v>39</v>
      </c>
      <c r="AD36" s="143" t="s">
        <v>296</v>
      </c>
      <c r="AE36" s="143" t="s">
        <v>296</v>
      </c>
      <c r="AF36" s="144" t="s">
        <v>296</v>
      </c>
      <c r="AG36" s="144" t="s">
        <v>296</v>
      </c>
      <c r="AH36" s="137" t="s">
        <v>296</v>
      </c>
      <c r="AI36" s="137" t="s">
        <v>296</v>
      </c>
      <c r="AJ36" s="143" t="s">
        <v>25</v>
      </c>
      <c r="AK36" s="127">
        <f>Ejecución!V36</f>
        <v>0</v>
      </c>
      <c r="AL36" s="127">
        <f>Ejecución!W36</f>
        <v>0</v>
      </c>
      <c r="AM36" s="127">
        <f>Ejecución!Y36</f>
        <v>30240000</v>
      </c>
      <c r="AN36" s="127">
        <f>Ejecución!Z36</f>
        <v>0</v>
      </c>
      <c r="AO36" s="127">
        <f>Ejecución!AB36</f>
        <v>0</v>
      </c>
      <c r="AP36" s="127">
        <f>Ejecución!AC36</f>
        <v>0</v>
      </c>
      <c r="AQ36" s="127">
        <f>Ejecución!X36</f>
        <v>0</v>
      </c>
      <c r="AR36" s="127">
        <f>Ejecución!AA36</f>
        <v>28350000</v>
      </c>
      <c r="AS36" s="127">
        <f>Ejecución!AD36</f>
        <v>0</v>
      </c>
      <c r="AT36" s="510" t="s">
        <v>1129</v>
      </c>
    </row>
    <row r="37" spans="1:46" ht="172.5" customHeight="1" x14ac:dyDescent="0.25">
      <c r="A37" s="122" t="s">
        <v>613</v>
      </c>
      <c r="B37" s="123">
        <v>2203018</v>
      </c>
      <c r="C37" s="110" t="s">
        <v>470</v>
      </c>
      <c r="D37" s="124" t="s">
        <v>139</v>
      </c>
      <c r="E37" s="124" t="s">
        <v>130</v>
      </c>
      <c r="F37" s="175" t="s">
        <v>586</v>
      </c>
      <c r="G37" s="179" t="s">
        <v>294</v>
      </c>
      <c r="H37" s="127" t="s">
        <v>460</v>
      </c>
      <c r="I37" s="127" t="s">
        <v>60</v>
      </c>
      <c r="J37" s="180" t="s">
        <v>385</v>
      </c>
      <c r="K37" s="181"/>
      <c r="L37" s="111">
        <v>3442047</v>
      </c>
      <c r="M37" s="166"/>
      <c r="N37" s="304">
        <f t="shared" si="1"/>
        <v>3442047</v>
      </c>
      <c r="O37" s="132"/>
      <c r="P37" s="132"/>
      <c r="Q37" s="132"/>
      <c r="R37" s="132"/>
      <c r="S37" s="132">
        <f>3605446+2000000</f>
        <v>5605446</v>
      </c>
      <c r="T37" s="132"/>
      <c r="U37" s="183"/>
      <c r="V37" s="184">
        <v>4052</v>
      </c>
      <c r="W37" s="184"/>
      <c r="X37" s="130"/>
      <c r="Y37" s="130">
        <f t="shared" si="6"/>
        <v>9043441</v>
      </c>
      <c r="Z37" s="130"/>
      <c r="AA37" s="303">
        <f t="shared" si="2"/>
        <v>9043441</v>
      </c>
      <c r="AB37" s="135" t="s">
        <v>59</v>
      </c>
      <c r="AC37" s="143" t="s">
        <v>146</v>
      </c>
      <c r="AD37" s="143" t="s">
        <v>296</v>
      </c>
      <c r="AE37" s="143" t="s">
        <v>296</v>
      </c>
      <c r="AF37" s="144" t="s">
        <v>296</v>
      </c>
      <c r="AG37" s="144" t="s">
        <v>296</v>
      </c>
      <c r="AH37" s="137" t="s">
        <v>296</v>
      </c>
      <c r="AI37" s="137" t="s">
        <v>296</v>
      </c>
      <c r="AJ37" s="143" t="s">
        <v>25</v>
      </c>
      <c r="AK37" s="127">
        <f>Ejecución!V37</f>
        <v>0</v>
      </c>
      <c r="AL37" s="127">
        <f>Ejecución!W37</f>
        <v>0</v>
      </c>
      <c r="AM37" s="127">
        <f>Ejecución!Y37</f>
        <v>4200000</v>
      </c>
      <c r="AN37" s="127">
        <f>Ejecución!Z37</f>
        <v>0</v>
      </c>
      <c r="AO37" s="127">
        <f>Ejecución!AB37</f>
        <v>0</v>
      </c>
      <c r="AP37" s="127">
        <f>Ejecución!AC37</f>
        <v>0</v>
      </c>
      <c r="AQ37" s="127">
        <f>Ejecución!X37</f>
        <v>0</v>
      </c>
      <c r="AR37" s="127">
        <f>Ejecución!AA37</f>
        <v>0</v>
      </c>
      <c r="AS37" s="127">
        <f>Ejecución!AD37</f>
        <v>0</v>
      </c>
      <c r="AT37" s="167" t="s">
        <v>1130</v>
      </c>
    </row>
    <row r="38" spans="1:46" ht="409.6" customHeight="1" x14ac:dyDescent="0.25">
      <c r="A38" s="122" t="s">
        <v>587</v>
      </c>
      <c r="B38" s="123">
        <v>2203018</v>
      </c>
      <c r="C38" s="110" t="s">
        <v>470</v>
      </c>
      <c r="D38" s="124" t="s">
        <v>139</v>
      </c>
      <c r="E38" s="124" t="s">
        <v>130</v>
      </c>
      <c r="F38" s="175" t="s">
        <v>586</v>
      </c>
      <c r="G38" s="189" t="s">
        <v>66</v>
      </c>
      <c r="H38" s="127" t="s">
        <v>460</v>
      </c>
      <c r="I38" s="127" t="s">
        <v>60</v>
      </c>
      <c r="J38" s="190" t="s">
        <v>62</v>
      </c>
      <c r="K38" s="191">
        <f>2953112*11</f>
        <v>32484232</v>
      </c>
      <c r="L38" s="182"/>
      <c r="M38" s="166"/>
      <c r="N38" s="304">
        <f t="shared" si="1"/>
        <v>32484232</v>
      </c>
      <c r="O38" s="132"/>
      <c r="P38" s="132"/>
      <c r="Q38" s="132"/>
      <c r="R38" s="132"/>
      <c r="S38" s="132"/>
      <c r="T38" s="132"/>
      <c r="U38" s="165">
        <v>32484232</v>
      </c>
      <c r="V38" s="165"/>
      <c r="W38" s="165"/>
      <c r="X38" s="130">
        <f>+K38-U38</f>
        <v>0</v>
      </c>
      <c r="Y38" s="130">
        <f t="shared" si="6"/>
        <v>0</v>
      </c>
      <c r="Z38" s="130"/>
      <c r="AA38" s="303">
        <f t="shared" si="2"/>
        <v>0</v>
      </c>
      <c r="AB38" s="135" t="s">
        <v>59</v>
      </c>
      <c r="AC38" s="143" t="s">
        <v>14</v>
      </c>
      <c r="AD38" s="143" t="s">
        <v>32</v>
      </c>
      <c r="AE38" s="143">
        <v>80101505</v>
      </c>
      <c r="AF38" s="142" t="s">
        <v>697</v>
      </c>
      <c r="AG38" s="142" t="s">
        <v>697</v>
      </c>
      <c r="AH38" s="136" t="s">
        <v>698</v>
      </c>
      <c r="AI38" s="137" t="s">
        <v>503</v>
      </c>
      <c r="AJ38" s="143" t="s">
        <v>16</v>
      </c>
      <c r="AK38" s="127">
        <f>Ejecución!V38</f>
        <v>0</v>
      </c>
      <c r="AL38" s="127">
        <f>Ejecución!W38</f>
        <v>0</v>
      </c>
      <c r="AM38" s="127">
        <f>Ejecución!Y38</f>
        <v>1061400</v>
      </c>
      <c r="AN38" s="127">
        <f>Ejecución!Z38</f>
        <v>0</v>
      </c>
      <c r="AO38" s="127">
        <f>Ejecución!AB38</f>
        <v>0</v>
      </c>
      <c r="AP38" s="127">
        <f>Ejecución!AC38</f>
        <v>0</v>
      </c>
      <c r="AQ38" s="127">
        <f>Ejecución!X38</f>
        <v>0</v>
      </c>
      <c r="AR38" s="127">
        <f>Ejecución!AA38</f>
        <v>1061400</v>
      </c>
      <c r="AS38" s="127">
        <f>Ejecución!AD38</f>
        <v>0</v>
      </c>
      <c r="AT38" s="497" t="s">
        <v>872</v>
      </c>
    </row>
    <row r="39" spans="1:46" s="139" customFormat="1" ht="280.5" x14ac:dyDescent="0.25">
      <c r="A39" s="122" t="s">
        <v>596</v>
      </c>
      <c r="B39" s="123">
        <v>2203018</v>
      </c>
      <c r="C39" s="110" t="s">
        <v>470</v>
      </c>
      <c r="D39" s="124" t="s">
        <v>139</v>
      </c>
      <c r="E39" s="124" t="s">
        <v>130</v>
      </c>
      <c r="F39" s="175" t="s">
        <v>586</v>
      </c>
      <c r="G39" s="189" t="s">
        <v>66</v>
      </c>
      <c r="H39" s="127" t="s">
        <v>460</v>
      </c>
      <c r="I39" s="127" t="s">
        <v>60</v>
      </c>
      <c r="J39" s="190" t="s">
        <v>843</v>
      </c>
      <c r="K39" s="181"/>
      <c r="L39" s="182">
        <v>20000000</v>
      </c>
      <c r="M39" s="166"/>
      <c r="N39" s="304">
        <f t="shared" si="1"/>
        <v>20000000</v>
      </c>
      <c r="O39" s="132"/>
      <c r="P39" s="132"/>
      <c r="Q39" s="132"/>
      <c r="R39" s="132"/>
      <c r="S39" s="132"/>
      <c r="T39" s="132"/>
      <c r="U39" s="165"/>
      <c r="V39" s="184">
        <v>20000000</v>
      </c>
      <c r="W39" s="184"/>
      <c r="X39" s="130"/>
      <c r="Y39" s="130">
        <f t="shared" si="6"/>
        <v>0</v>
      </c>
      <c r="Z39" s="130"/>
      <c r="AA39" s="303">
        <f t="shared" si="2"/>
        <v>0</v>
      </c>
      <c r="AB39" s="135" t="s">
        <v>59</v>
      </c>
      <c r="AC39" s="143" t="s">
        <v>14</v>
      </c>
      <c r="AD39" s="143" t="s">
        <v>32</v>
      </c>
      <c r="AE39" s="143"/>
      <c r="AF39" s="142" t="s">
        <v>697</v>
      </c>
      <c r="AG39" s="142" t="s">
        <v>697</v>
      </c>
      <c r="AH39" s="136" t="s">
        <v>698</v>
      </c>
      <c r="AI39" s="137" t="s">
        <v>503</v>
      </c>
      <c r="AJ39" s="143" t="s">
        <v>418</v>
      </c>
      <c r="AK39" s="127">
        <f>Ejecución!V39</f>
        <v>0</v>
      </c>
      <c r="AL39" s="127">
        <f>Ejecución!W39</f>
        <v>0</v>
      </c>
      <c r="AM39" s="127">
        <f>Ejecución!Y39</f>
        <v>9043441</v>
      </c>
      <c r="AN39" s="127">
        <f>Ejecución!Z39</f>
        <v>0</v>
      </c>
      <c r="AO39" s="127">
        <f>Ejecución!AB39</f>
        <v>0</v>
      </c>
      <c r="AP39" s="127">
        <f>Ejecución!AC39</f>
        <v>0</v>
      </c>
      <c r="AQ39" s="127">
        <f>Ejecución!X39</f>
        <v>0</v>
      </c>
      <c r="AR39" s="127">
        <f>Ejecución!AA39</f>
        <v>9043441</v>
      </c>
      <c r="AS39" s="127">
        <f>Ejecución!AD39</f>
        <v>0</v>
      </c>
      <c r="AT39" s="497" t="s">
        <v>871</v>
      </c>
    </row>
    <row r="40" spans="1:46" ht="280.5" x14ac:dyDescent="0.25">
      <c r="A40" s="122" t="s">
        <v>587</v>
      </c>
      <c r="B40" s="123">
        <v>2203018</v>
      </c>
      <c r="C40" s="110" t="s">
        <v>470</v>
      </c>
      <c r="D40" s="124" t="s">
        <v>139</v>
      </c>
      <c r="E40" s="124" t="s">
        <v>130</v>
      </c>
      <c r="F40" s="175" t="s">
        <v>586</v>
      </c>
      <c r="G40" s="189" t="s">
        <v>66</v>
      </c>
      <c r="H40" s="127" t="s">
        <v>460</v>
      </c>
      <c r="I40" s="127" t="s">
        <v>60</v>
      </c>
      <c r="J40" s="180" t="s">
        <v>321</v>
      </c>
      <c r="K40" s="181"/>
      <c r="L40" s="182">
        <f>1898257.27272727*11</f>
        <v>20880829.99999997</v>
      </c>
      <c r="M40" s="166"/>
      <c r="N40" s="304">
        <f t="shared" si="1"/>
        <v>20880829.99999997</v>
      </c>
      <c r="O40" s="132"/>
      <c r="P40" s="132"/>
      <c r="Q40" s="132"/>
      <c r="R40" s="132"/>
      <c r="S40" s="132"/>
      <c r="T40" s="132"/>
      <c r="U40" s="165"/>
      <c r="V40" s="165">
        <f>459355+177255</f>
        <v>636610</v>
      </c>
      <c r="W40" s="165"/>
      <c r="X40" s="130"/>
      <c r="Y40" s="130">
        <f t="shared" si="6"/>
        <v>20244219.99999997</v>
      </c>
      <c r="Z40" s="130"/>
      <c r="AA40" s="303">
        <f t="shared" si="2"/>
        <v>20244219.99999997</v>
      </c>
      <c r="AB40" s="135" t="s">
        <v>59</v>
      </c>
      <c r="AC40" s="143" t="s">
        <v>14</v>
      </c>
      <c r="AD40" s="143" t="s">
        <v>32</v>
      </c>
      <c r="AE40" s="143">
        <v>80101505</v>
      </c>
      <c r="AF40" s="142" t="s">
        <v>61</v>
      </c>
      <c r="AG40" s="142" t="s">
        <v>61</v>
      </c>
      <c r="AH40" s="137">
        <v>11</v>
      </c>
      <c r="AI40" s="137" t="s">
        <v>503</v>
      </c>
      <c r="AJ40" s="144" t="s">
        <v>16</v>
      </c>
      <c r="AK40" s="127">
        <f>Ejecución!V40</f>
        <v>0</v>
      </c>
      <c r="AL40" s="127">
        <f>Ejecución!W40</f>
        <v>0</v>
      </c>
      <c r="AM40" s="127">
        <f>Ejecución!Y40</f>
        <v>0</v>
      </c>
      <c r="AN40" s="127">
        <f>Ejecución!Z40</f>
        <v>0</v>
      </c>
      <c r="AO40" s="127">
        <f>Ejecución!AB40</f>
        <v>0</v>
      </c>
      <c r="AP40" s="127">
        <f>Ejecución!AC40</f>
        <v>0</v>
      </c>
      <c r="AQ40" s="127">
        <f>Ejecución!X40</f>
        <v>0</v>
      </c>
      <c r="AR40" s="127">
        <f>Ejecución!AA40</f>
        <v>0</v>
      </c>
      <c r="AS40" s="127">
        <f>Ejecución!AD40</f>
        <v>0</v>
      </c>
      <c r="AT40" s="497" t="s">
        <v>953</v>
      </c>
    </row>
    <row r="41" spans="1:46" ht="240" x14ac:dyDescent="0.25">
      <c r="A41" s="122" t="s">
        <v>587</v>
      </c>
      <c r="B41" s="123">
        <v>2203018</v>
      </c>
      <c r="C41" s="110" t="s">
        <v>470</v>
      </c>
      <c r="D41" s="124" t="s">
        <v>139</v>
      </c>
      <c r="E41" s="124" t="s">
        <v>130</v>
      </c>
      <c r="F41" s="175" t="s">
        <v>586</v>
      </c>
      <c r="G41" s="189" t="s">
        <v>66</v>
      </c>
      <c r="H41" s="127" t="s">
        <v>460</v>
      </c>
      <c r="I41" s="127" t="s">
        <v>60</v>
      </c>
      <c r="J41" s="180" t="s">
        <v>343</v>
      </c>
      <c r="K41" s="181"/>
      <c r="L41" s="182">
        <f>1898257.27272727*11</f>
        <v>20880829.99999997</v>
      </c>
      <c r="M41" s="166"/>
      <c r="N41" s="304">
        <f t="shared" si="1"/>
        <v>20880829.99999997</v>
      </c>
      <c r="O41" s="132"/>
      <c r="P41" s="132"/>
      <c r="Q41" s="132"/>
      <c r="R41" s="132"/>
      <c r="S41" s="132"/>
      <c r="T41" s="132"/>
      <c r="U41" s="165"/>
      <c r="V41" s="165">
        <v>636610</v>
      </c>
      <c r="W41" s="165"/>
      <c r="X41" s="130"/>
      <c r="Y41" s="130">
        <f t="shared" si="6"/>
        <v>20244219.99999997</v>
      </c>
      <c r="Z41" s="130"/>
      <c r="AA41" s="303">
        <f t="shared" si="2"/>
        <v>20244219.99999997</v>
      </c>
      <c r="AB41" s="135" t="s">
        <v>59</v>
      </c>
      <c r="AC41" s="143" t="s">
        <v>14</v>
      </c>
      <c r="AD41" s="143" t="s">
        <v>32</v>
      </c>
      <c r="AE41" s="143">
        <v>80101505</v>
      </c>
      <c r="AF41" s="142" t="s">
        <v>61</v>
      </c>
      <c r="AG41" s="142" t="s">
        <v>61</v>
      </c>
      <c r="AH41" s="137">
        <v>11</v>
      </c>
      <c r="AI41" s="137" t="s">
        <v>503</v>
      </c>
      <c r="AJ41" s="144" t="s">
        <v>16</v>
      </c>
      <c r="AK41" s="127">
        <f>Ejecución!V41</f>
        <v>0</v>
      </c>
      <c r="AL41" s="127">
        <f>Ejecución!W41</f>
        <v>0</v>
      </c>
      <c r="AM41" s="127">
        <f>Ejecución!Y41</f>
        <v>0</v>
      </c>
      <c r="AN41" s="127">
        <f>Ejecución!Z41</f>
        <v>0</v>
      </c>
      <c r="AO41" s="127">
        <f>Ejecución!AB41</f>
        <v>0</v>
      </c>
      <c r="AP41" s="127">
        <f>Ejecución!AC41</f>
        <v>0</v>
      </c>
      <c r="AQ41" s="127">
        <f>Ejecución!X41</f>
        <v>0</v>
      </c>
      <c r="AR41" s="127">
        <f>Ejecución!AA41</f>
        <v>0</v>
      </c>
      <c r="AS41" s="127">
        <f>Ejecución!AD41</f>
        <v>0</v>
      </c>
      <c r="AT41" s="513" t="s">
        <v>952</v>
      </c>
    </row>
    <row r="42" spans="1:46" ht="382.5" x14ac:dyDescent="0.25">
      <c r="A42" s="122" t="s">
        <v>587</v>
      </c>
      <c r="B42" s="123">
        <v>2203018</v>
      </c>
      <c r="C42" s="110" t="s">
        <v>470</v>
      </c>
      <c r="D42" s="124" t="s">
        <v>139</v>
      </c>
      <c r="E42" s="124" t="s">
        <v>130</v>
      </c>
      <c r="F42" s="175" t="s">
        <v>586</v>
      </c>
      <c r="G42" s="189" t="s">
        <v>66</v>
      </c>
      <c r="H42" s="127" t="s">
        <v>460</v>
      </c>
      <c r="I42" s="127" t="s">
        <v>60</v>
      </c>
      <c r="J42" s="180" t="s">
        <v>322</v>
      </c>
      <c r="K42" s="181"/>
      <c r="L42" s="182">
        <f>1898257.27272727*11</f>
        <v>20880829.99999997</v>
      </c>
      <c r="M42" s="166"/>
      <c r="N42" s="304">
        <f t="shared" si="1"/>
        <v>20880829.99999997</v>
      </c>
      <c r="O42" s="132"/>
      <c r="P42" s="132"/>
      <c r="Q42" s="132"/>
      <c r="R42" s="132"/>
      <c r="S42" s="132"/>
      <c r="T42" s="132"/>
      <c r="U42" s="165"/>
      <c r="V42" s="165">
        <f>418390+218220</f>
        <v>636610</v>
      </c>
      <c r="W42" s="165"/>
      <c r="X42" s="130"/>
      <c r="Y42" s="130">
        <f t="shared" si="6"/>
        <v>20244219.99999997</v>
      </c>
      <c r="Z42" s="130"/>
      <c r="AA42" s="303">
        <f t="shared" ref="AA42:AA86" si="7">+Y42+Z42+X42</f>
        <v>20244219.99999997</v>
      </c>
      <c r="AB42" s="135" t="s">
        <v>59</v>
      </c>
      <c r="AC42" s="143" t="s">
        <v>14</v>
      </c>
      <c r="AD42" s="143" t="s">
        <v>32</v>
      </c>
      <c r="AE42" s="143">
        <v>80101505</v>
      </c>
      <c r="AF42" s="142" t="s">
        <v>61</v>
      </c>
      <c r="AG42" s="142" t="s">
        <v>61</v>
      </c>
      <c r="AH42" s="137">
        <v>11</v>
      </c>
      <c r="AI42" s="137" t="s">
        <v>503</v>
      </c>
      <c r="AJ42" s="144" t="s">
        <v>16</v>
      </c>
      <c r="AK42" s="127">
        <f>Ejecución!V42</f>
        <v>0</v>
      </c>
      <c r="AL42" s="127">
        <f>Ejecución!W42</f>
        <v>0</v>
      </c>
      <c r="AM42" s="127">
        <f>Ejecución!Y42</f>
        <v>20244220</v>
      </c>
      <c r="AN42" s="127">
        <f>Ejecución!Z42</f>
        <v>-2.9802322387695313E-8</v>
      </c>
      <c r="AO42" s="127">
        <f>Ejecución!AB42</f>
        <v>0</v>
      </c>
      <c r="AP42" s="127">
        <f>Ejecución!AC42</f>
        <v>0</v>
      </c>
      <c r="AQ42" s="127">
        <f>Ejecución!X42</f>
        <v>0</v>
      </c>
      <c r="AR42" s="127">
        <f>Ejecución!AA42</f>
        <v>18219798</v>
      </c>
      <c r="AS42" s="127">
        <f>Ejecución!AD42</f>
        <v>0</v>
      </c>
      <c r="AT42" s="513" t="s">
        <v>954</v>
      </c>
    </row>
    <row r="43" spans="1:46" ht="409.5" x14ac:dyDescent="0.25">
      <c r="A43" s="122" t="s">
        <v>587</v>
      </c>
      <c r="B43" s="123">
        <v>2203018</v>
      </c>
      <c r="C43" s="110" t="s">
        <v>470</v>
      </c>
      <c r="D43" s="124" t="s">
        <v>139</v>
      </c>
      <c r="E43" s="124" t="s">
        <v>130</v>
      </c>
      <c r="F43" s="175" t="s">
        <v>586</v>
      </c>
      <c r="G43" s="189" t="s">
        <v>66</v>
      </c>
      <c r="H43" s="127" t="s">
        <v>460</v>
      </c>
      <c r="I43" s="127" t="s">
        <v>60</v>
      </c>
      <c r="J43" s="180" t="s">
        <v>863</v>
      </c>
      <c r="K43" s="181"/>
      <c r="L43" s="182"/>
      <c r="M43" s="166"/>
      <c r="N43" s="304"/>
      <c r="O43" s="132">
        <v>2946091</v>
      </c>
      <c r="P43" s="132">
        <f>6594554+459355</f>
        <v>7053909</v>
      </c>
      <c r="Q43" s="132"/>
      <c r="R43" s="132"/>
      <c r="S43" s="132"/>
      <c r="T43" s="132"/>
      <c r="U43" s="165"/>
      <c r="V43" s="165"/>
      <c r="W43" s="165"/>
      <c r="X43" s="130">
        <f>+O43+R43-U43</f>
        <v>2946091</v>
      </c>
      <c r="Y43" s="130">
        <f t="shared" si="6"/>
        <v>7053909</v>
      </c>
      <c r="Z43" s="130"/>
      <c r="AA43" s="303">
        <f>+X43+Y43+Z43</f>
        <v>10000000</v>
      </c>
      <c r="AB43" s="135" t="s">
        <v>59</v>
      </c>
      <c r="AC43" s="143" t="s">
        <v>14</v>
      </c>
      <c r="AD43" s="143" t="s">
        <v>32</v>
      </c>
      <c r="AE43" s="143">
        <v>80101505</v>
      </c>
      <c r="AF43" s="142" t="s">
        <v>68</v>
      </c>
      <c r="AG43" s="142" t="s">
        <v>423</v>
      </c>
      <c r="AH43" s="137">
        <v>4</v>
      </c>
      <c r="AI43" s="137" t="s">
        <v>503</v>
      </c>
      <c r="AJ43" s="144" t="s">
        <v>16</v>
      </c>
      <c r="AK43" s="127">
        <f>Ejecución!V43</f>
        <v>0</v>
      </c>
      <c r="AL43" s="127">
        <f>Ejecución!W43</f>
        <v>0</v>
      </c>
      <c r="AM43" s="127">
        <f>Ejecución!Y43</f>
        <v>20244220</v>
      </c>
      <c r="AN43" s="127">
        <f>Ejecución!Z43</f>
        <v>-2.9802322387695313E-8</v>
      </c>
      <c r="AO43" s="127">
        <f>Ejecución!AB43</f>
        <v>0</v>
      </c>
      <c r="AP43" s="127">
        <f>Ejecución!AC43</f>
        <v>0</v>
      </c>
      <c r="AQ43" s="127">
        <f>Ejecución!X43</f>
        <v>0</v>
      </c>
      <c r="AR43" s="127">
        <f>Ejecución!AA43</f>
        <v>18219798</v>
      </c>
      <c r="AS43" s="127">
        <f>Ejecución!AD43</f>
        <v>0</v>
      </c>
      <c r="AT43" s="497" t="s">
        <v>873</v>
      </c>
    </row>
    <row r="44" spans="1:46" ht="409.5" x14ac:dyDescent="0.25">
      <c r="A44" s="122" t="s">
        <v>587</v>
      </c>
      <c r="B44" s="123">
        <v>2203018</v>
      </c>
      <c r="C44" s="110" t="s">
        <v>470</v>
      </c>
      <c r="D44" s="124" t="s">
        <v>139</v>
      </c>
      <c r="E44" s="124" t="s">
        <v>130</v>
      </c>
      <c r="F44" s="175" t="s">
        <v>586</v>
      </c>
      <c r="G44" s="189" t="s">
        <v>66</v>
      </c>
      <c r="H44" s="127" t="s">
        <v>460</v>
      </c>
      <c r="I44" s="127" t="s">
        <v>60</v>
      </c>
      <c r="J44" s="180" t="s">
        <v>864</v>
      </c>
      <c r="K44" s="181"/>
      <c r="L44" s="182"/>
      <c r="M44" s="166"/>
      <c r="N44" s="304"/>
      <c r="O44" s="132">
        <v>10000000</v>
      </c>
      <c r="P44" s="132"/>
      <c r="Q44" s="132"/>
      <c r="R44" s="132"/>
      <c r="S44" s="132"/>
      <c r="T44" s="132"/>
      <c r="U44" s="165">
        <v>1902312</v>
      </c>
      <c r="V44" s="165"/>
      <c r="W44" s="165"/>
      <c r="X44" s="130">
        <f t="shared" ref="X44:X49" si="8">+O44+R44-U44</f>
        <v>8097688</v>
      </c>
      <c r="Y44" s="130">
        <f t="shared" si="6"/>
        <v>0</v>
      </c>
      <c r="Z44" s="130"/>
      <c r="AA44" s="303">
        <f t="shared" ref="AA44:AA49" si="9">+X44+Y44+Z44</f>
        <v>8097688</v>
      </c>
      <c r="AB44" s="135" t="s">
        <v>59</v>
      </c>
      <c r="AC44" s="143" t="s">
        <v>14</v>
      </c>
      <c r="AD44" s="143" t="s">
        <v>32</v>
      </c>
      <c r="AE44" s="143">
        <v>80101505</v>
      </c>
      <c r="AF44" s="142" t="s">
        <v>68</v>
      </c>
      <c r="AG44" s="142" t="s">
        <v>423</v>
      </c>
      <c r="AH44" s="137">
        <v>4</v>
      </c>
      <c r="AI44" s="137" t="s">
        <v>503</v>
      </c>
      <c r="AJ44" s="144" t="s">
        <v>16</v>
      </c>
      <c r="AK44" s="127">
        <f>Ejecución!V44</f>
        <v>0</v>
      </c>
      <c r="AL44" s="127">
        <f>Ejecución!W44</f>
        <v>0</v>
      </c>
      <c r="AM44" s="127">
        <f>Ejecución!Y44</f>
        <v>20244220</v>
      </c>
      <c r="AN44" s="127">
        <f>Ejecución!Z44</f>
        <v>-2.9802322387695313E-8</v>
      </c>
      <c r="AO44" s="127">
        <f>Ejecución!AB44</f>
        <v>0</v>
      </c>
      <c r="AP44" s="127">
        <f>Ejecución!AC44</f>
        <v>0</v>
      </c>
      <c r="AQ44" s="127">
        <f>Ejecución!X44</f>
        <v>0</v>
      </c>
      <c r="AR44" s="127">
        <f>Ejecución!AA44</f>
        <v>18219798</v>
      </c>
      <c r="AS44" s="127">
        <f>Ejecución!AD44</f>
        <v>0</v>
      </c>
      <c r="AT44" s="497" t="s">
        <v>1133</v>
      </c>
    </row>
    <row r="45" spans="1:46" ht="409.5" x14ac:dyDescent="0.25">
      <c r="A45" s="122" t="s">
        <v>587</v>
      </c>
      <c r="B45" s="123">
        <v>2203018</v>
      </c>
      <c r="C45" s="110" t="s">
        <v>470</v>
      </c>
      <c r="D45" s="124" t="s">
        <v>139</v>
      </c>
      <c r="E45" s="124" t="s">
        <v>130</v>
      </c>
      <c r="F45" s="175" t="s">
        <v>586</v>
      </c>
      <c r="G45" s="189" t="s">
        <v>66</v>
      </c>
      <c r="H45" s="127" t="s">
        <v>460</v>
      </c>
      <c r="I45" s="127" t="s">
        <v>60</v>
      </c>
      <c r="J45" s="180" t="s">
        <v>865</v>
      </c>
      <c r="K45" s="181"/>
      <c r="L45" s="182"/>
      <c r="M45" s="166"/>
      <c r="N45" s="304"/>
      <c r="O45" s="132">
        <v>10000000</v>
      </c>
      <c r="P45" s="132"/>
      <c r="Q45" s="132"/>
      <c r="R45" s="132"/>
      <c r="S45" s="132"/>
      <c r="T45" s="132"/>
      <c r="U45" s="165"/>
      <c r="V45" s="165"/>
      <c r="W45" s="165"/>
      <c r="X45" s="130">
        <f t="shared" si="8"/>
        <v>10000000</v>
      </c>
      <c r="Y45" s="130">
        <f t="shared" si="6"/>
        <v>0</v>
      </c>
      <c r="Z45" s="130"/>
      <c r="AA45" s="303">
        <f t="shared" si="9"/>
        <v>10000000</v>
      </c>
      <c r="AB45" s="135" t="s">
        <v>59</v>
      </c>
      <c r="AC45" s="143" t="s">
        <v>14</v>
      </c>
      <c r="AD45" s="143" t="s">
        <v>32</v>
      </c>
      <c r="AE45" s="143">
        <v>80101505</v>
      </c>
      <c r="AF45" s="142" t="s">
        <v>68</v>
      </c>
      <c r="AG45" s="142" t="s">
        <v>423</v>
      </c>
      <c r="AH45" s="137">
        <v>4</v>
      </c>
      <c r="AI45" s="137" t="s">
        <v>503</v>
      </c>
      <c r="AJ45" s="144" t="s">
        <v>16</v>
      </c>
      <c r="AK45" s="127">
        <f>Ejecución!V45</f>
        <v>2946091</v>
      </c>
      <c r="AL45" s="127">
        <f>Ejecución!W45</f>
        <v>0</v>
      </c>
      <c r="AM45" s="127">
        <f>Ejecución!Y45</f>
        <v>7053909</v>
      </c>
      <c r="AN45" s="127">
        <f>Ejecución!Z45</f>
        <v>0</v>
      </c>
      <c r="AO45" s="127">
        <f>Ejecución!AB45</f>
        <v>0</v>
      </c>
      <c r="AP45" s="127">
        <f>Ejecución!AC45</f>
        <v>0</v>
      </c>
      <c r="AQ45" s="127">
        <f>Ejecución!X45</f>
        <v>2946091</v>
      </c>
      <c r="AR45" s="127">
        <f>Ejecución!AA45</f>
        <v>7053909</v>
      </c>
      <c r="AS45" s="127">
        <f>Ejecución!AD45</f>
        <v>0</v>
      </c>
      <c r="AT45" s="497" t="s">
        <v>874</v>
      </c>
    </row>
    <row r="46" spans="1:46" ht="409.5" x14ac:dyDescent="0.25">
      <c r="A46" s="122" t="s">
        <v>587</v>
      </c>
      <c r="B46" s="123">
        <v>2203018</v>
      </c>
      <c r="C46" s="110" t="s">
        <v>470</v>
      </c>
      <c r="D46" s="124" t="s">
        <v>139</v>
      </c>
      <c r="E46" s="124" t="s">
        <v>130</v>
      </c>
      <c r="F46" s="175" t="s">
        <v>586</v>
      </c>
      <c r="G46" s="189" t="s">
        <v>66</v>
      </c>
      <c r="H46" s="127" t="s">
        <v>460</v>
      </c>
      <c r="I46" s="127" t="s">
        <v>60</v>
      </c>
      <c r="J46" s="180" t="s">
        <v>866</v>
      </c>
      <c r="K46" s="181"/>
      <c r="L46" s="182"/>
      <c r="M46" s="166"/>
      <c r="N46" s="304"/>
      <c r="O46" s="132">
        <v>10000000</v>
      </c>
      <c r="P46" s="132"/>
      <c r="Q46" s="132"/>
      <c r="R46" s="132"/>
      <c r="S46" s="132"/>
      <c r="T46" s="132"/>
      <c r="U46" s="165"/>
      <c r="V46" s="165"/>
      <c r="W46" s="165"/>
      <c r="X46" s="130">
        <f t="shared" si="8"/>
        <v>10000000</v>
      </c>
      <c r="Y46" s="130">
        <f t="shared" si="6"/>
        <v>0</v>
      </c>
      <c r="Z46" s="130"/>
      <c r="AA46" s="303">
        <f t="shared" si="9"/>
        <v>10000000</v>
      </c>
      <c r="AB46" s="135" t="s">
        <v>59</v>
      </c>
      <c r="AC46" s="143" t="s">
        <v>14</v>
      </c>
      <c r="AD46" s="143" t="s">
        <v>32</v>
      </c>
      <c r="AE46" s="143">
        <v>80101505</v>
      </c>
      <c r="AF46" s="142" t="s">
        <v>68</v>
      </c>
      <c r="AG46" s="142" t="s">
        <v>423</v>
      </c>
      <c r="AH46" s="137">
        <v>4</v>
      </c>
      <c r="AI46" s="137" t="s">
        <v>503</v>
      </c>
      <c r="AJ46" s="144" t="s">
        <v>16</v>
      </c>
      <c r="AK46" s="127">
        <f>Ejecución!V46</f>
        <v>8097688</v>
      </c>
      <c r="AL46" s="127">
        <f>Ejecución!W46</f>
        <v>0</v>
      </c>
      <c r="AM46" s="127">
        <f>Ejecución!Y46</f>
        <v>0</v>
      </c>
      <c r="AN46" s="127">
        <f>Ejecución!Z46</f>
        <v>0</v>
      </c>
      <c r="AO46" s="127">
        <f>Ejecución!AB46</f>
        <v>0</v>
      </c>
      <c r="AP46" s="127">
        <f>Ejecución!AC46</f>
        <v>0</v>
      </c>
      <c r="AQ46" s="127">
        <f>Ejecución!X46</f>
        <v>8097688</v>
      </c>
      <c r="AR46" s="127">
        <f>Ejecución!AA46</f>
        <v>0</v>
      </c>
      <c r="AS46" s="127">
        <f>Ejecución!AD46</f>
        <v>0</v>
      </c>
      <c r="AT46" s="497" t="s">
        <v>875</v>
      </c>
    </row>
    <row r="47" spans="1:46" ht="409.5" x14ac:dyDescent="0.25">
      <c r="A47" s="122" t="s">
        <v>587</v>
      </c>
      <c r="B47" s="123">
        <v>2203018</v>
      </c>
      <c r="C47" s="110" t="s">
        <v>470</v>
      </c>
      <c r="D47" s="124" t="s">
        <v>139</v>
      </c>
      <c r="E47" s="124" t="s">
        <v>130</v>
      </c>
      <c r="F47" s="175" t="s">
        <v>586</v>
      </c>
      <c r="G47" s="189" t="s">
        <v>66</v>
      </c>
      <c r="H47" s="127" t="s">
        <v>460</v>
      </c>
      <c r="I47" s="127" t="s">
        <v>60</v>
      </c>
      <c r="J47" s="180" t="s">
        <v>867</v>
      </c>
      <c r="K47" s="181"/>
      <c r="L47" s="182"/>
      <c r="M47" s="166"/>
      <c r="N47" s="304"/>
      <c r="O47" s="132">
        <v>10000000</v>
      </c>
      <c r="P47" s="132"/>
      <c r="Q47" s="132"/>
      <c r="R47" s="132"/>
      <c r="S47" s="132"/>
      <c r="T47" s="132"/>
      <c r="U47" s="165"/>
      <c r="V47" s="165"/>
      <c r="W47" s="165"/>
      <c r="X47" s="130">
        <f t="shared" si="8"/>
        <v>10000000</v>
      </c>
      <c r="Y47" s="130">
        <f t="shared" si="6"/>
        <v>0</v>
      </c>
      <c r="Z47" s="130"/>
      <c r="AA47" s="303">
        <f t="shared" si="9"/>
        <v>10000000</v>
      </c>
      <c r="AB47" s="135" t="s">
        <v>59</v>
      </c>
      <c r="AC47" s="143" t="s">
        <v>14</v>
      </c>
      <c r="AD47" s="143" t="s">
        <v>32</v>
      </c>
      <c r="AE47" s="143">
        <v>80101505</v>
      </c>
      <c r="AF47" s="142" t="s">
        <v>68</v>
      </c>
      <c r="AG47" s="142" t="s">
        <v>423</v>
      </c>
      <c r="AH47" s="137">
        <v>4</v>
      </c>
      <c r="AI47" s="137" t="s">
        <v>503</v>
      </c>
      <c r="AJ47" s="144" t="s">
        <v>16</v>
      </c>
      <c r="AK47" s="127">
        <f>Ejecución!V47</f>
        <v>10000000</v>
      </c>
      <c r="AL47" s="127">
        <f>Ejecución!W47</f>
        <v>0</v>
      </c>
      <c r="AM47" s="127">
        <f>Ejecución!Y47</f>
        <v>0</v>
      </c>
      <c r="AN47" s="127">
        <f>Ejecución!Z47</f>
        <v>0</v>
      </c>
      <c r="AO47" s="127">
        <f>Ejecución!AB47</f>
        <v>0</v>
      </c>
      <c r="AP47" s="127">
        <f>Ejecución!AC47</f>
        <v>0</v>
      </c>
      <c r="AQ47" s="127">
        <f>Ejecución!X47</f>
        <v>10000000</v>
      </c>
      <c r="AR47" s="127">
        <f>Ejecución!AA47</f>
        <v>0</v>
      </c>
      <c r="AS47" s="127">
        <f>Ejecución!AD47</f>
        <v>0</v>
      </c>
      <c r="AT47" s="497" t="s">
        <v>875</v>
      </c>
    </row>
    <row r="48" spans="1:46" ht="409.5" x14ac:dyDescent="0.25">
      <c r="A48" s="122" t="s">
        <v>587</v>
      </c>
      <c r="B48" s="123">
        <v>2203018</v>
      </c>
      <c r="C48" s="110" t="s">
        <v>470</v>
      </c>
      <c r="D48" s="124" t="s">
        <v>139</v>
      </c>
      <c r="E48" s="124" t="s">
        <v>130</v>
      </c>
      <c r="F48" s="175" t="s">
        <v>586</v>
      </c>
      <c r="G48" s="189" t="s">
        <v>66</v>
      </c>
      <c r="H48" s="127" t="s">
        <v>460</v>
      </c>
      <c r="I48" s="127" t="s">
        <v>60</v>
      </c>
      <c r="J48" s="180" t="s">
        <v>868</v>
      </c>
      <c r="K48" s="181"/>
      <c r="L48" s="182"/>
      <c r="M48" s="166"/>
      <c r="N48" s="304"/>
      <c r="O48" s="132">
        <v>10000000</v>
      </c>
      <c r="P48" s="132"/>
      <c r="Q48" s="132"/>
      <c r="R48" s="132"/>
      <c r="S48" s="132"/>
      <c r="T48" s="132"/>
      <c r="U48" s="165">
        <v>88600</v>
      </c>
      <c r="V48" s="165"/>
      <c r="W48" s="165"/>
      <c r="X48" s="130">
        <f t="shared" si="8"/>
        <v>9911400</v>
      </c>
      <c r="Y48" s="130">
        <f t="shared" si="6"/>
        <v>0</v>
      </c>
      <c r="Z48" s="130"/>
      <c r="AA48" s="303">
        <f t="shared" si="9"/>
        <v>9911400</v>
      </c>
      <c r="AB48" s="135" t="s">
        <v>59</v>
      </c>
      <c r="AC48" s="143" t="s">
        <v>14</v>
      </c>
      <c r="AD48" s="143" t="s">
        <v>32</v>
      </c>
      <c r="AE48" s="143">
        <v>80101505</v>
      </c>
      <c r="AF48" s="142" t="s">
        <v>68</v>
      </c>
      <c r="AG48" s="142" t="s">
        <v>423</v>
      </c>
      <c r="AH48" s="137">
        <v>4</v>
      </c>
      <c r="AI48" s="137" t="s">
        <v>503</v>
      </c>
      <c r="AJ48" s="144" t="s">
        <v>16</v>
      </c>
      <c r="AK48" s="127">
        <f>Ejecución!V48</f>
        <v>10000000</v>
      </c>
      <c r="AL48" s="127">
        <f>Ejecución!W48</f>
        <v>0</v>
      </c>
      <c r="AM48" s="127">
        <f>Ejecución!Y48</f>
        <v>0</v>
      </c>
      <c r="AN48" s="127">
        <f>Ejecución!Z48</f>
        <v>0</v>
      </c>
      <c r="AO48" s="127">
        <f>Ejecución!AB48</f>
        <v>0</v>
      </c>
      <c r="AP48" s="127">
        <f>Ejecución!AC48</f>
        <v>0</v>
      </c>
      <c r="AQ48" s="127">
        <f>Ejecución!X48</f>
        <v>10000000</v>
      </c>
      <c r="AR48" s="127">
        <f>Ejecución!AA48</f>
        <v>0</v>
      </c>
      <c r="AS48" s="127">
        <f>Ejecución!AD48</f>
        <v>0</v>
      </c>
      <c r="AT48" s="497" t="s">
        <v>1134</v>
      </c>
    </row>
    <row r="49" spans="1:46" ht="282.75" customHeight="1" x14ac:dyDescent="0.25">
      <c r="A49" s="122"/>
      <c r="B49" s="123">
        <v>2203018</v>
      </c>
      <c r="C49" s="110" t="s">
        <v>470</v>
      </c>
      <c r="D49" s="124" t="s">
        <v>139</v>
      </c>
      <c r="E49" s="124" t="s">
        <v>130</v>
      </c>
      <c r="F49" s="175" t="s">
        <v>586</v>
      </c>
      <c r="G49" s="189" t="s">
        <v>66</v>
      </c>
      <c r="H49" s="127" t="s">
        <v>460</v>
      </c>
      <c r="I49" s="127" t="s">
        <v>60</v>
      </c>
      <c r="J49" s="180" t="s">
        <v>869</v>
      </c>
      <c r="K49" s="181"/>
      <c r="L49" s="182"/>
      <c r="M49" s="166"/>
      <c r="N49" s="304"/>
      <c r="O49" s="132">
        <v>1951837</v>
      </c>
      <c r="P49" s="132">
        <v>5000000</v>
      </c>
      <c r="Q49" s="132"/>
      <c r="R49" s="132"/>
      <c r="S49" s="132"/>
      <c r="T49" s="132"/>
      <c r="U49" s="165"/>
      <c r="V49" s="165">
        <v>5000000</v>
      </c>
      <c r="W49" s="165"/>
      <c r="X49" s="130">
        <f t="shared" si="8"/>
        <v>1951837</v>
      </c>
      <c r="Y49" s="130">
        <f t="shared" si="6"/>
        <v>0</v>
      </c>
      <c r="Z49" s="130"/>
      <c r="AA49" s="303">
        <f t="shared" si="9"/>
        <v>1951837</v>
      </c>
      <c r="AB49" s="135" t="s">
        <v>59</v>
      </c>
      <c r="AC49" s="143" t="s">
        <v>14</v>
      </c>
      <c r="AD49" s="143" t="s">
        <v>32</v>
      </c>
      <c r="AE49" s="143" t="s">
        <v>1157</v>
      </c>
      <c r="AF49" s="142" t="s">
        <v>68</v>
      </c>
      <c r="AG49" s="142" t="s">
        <v>423</v>
      </c>
      <c r="AH49" s="137">
        <v>1</v>
      </c>
      <c r="AI49" s="137" t="s">
        <v>503</v>
      </c>
      <c r="AJ49" s="144" t="s">
        <v>685</v>
      </c>
      <c r="AK49" s="127">
        <f>Ejecución!V49</f>
        <v>10000000</v>
      </c>
      <c r="AL49" s="127">
        <f>Ejecución!W49</f>
        <v>0</v>
      </c>
      <c r="AM49" s="127">
        <f>Ejecución!Y49</f>
        <v>0</v>
      </c>
      <c r="AN49" s="127">
        <f>Ejecución!Z49</f>
        <v>0</v>
      </c>
      <c r="AO49" s="127">
        <f>Ejecución!AB49</f>
        <v>0</v>
      </c>
      <c r="AP49" s="127">
        <f>Ejecución!AC49</f>
        <v>0</v>
      </c>
      <c r="AQ49" s="127">
        <f>Ejecución!X49</f>
        <v>10000000</v>
      </c>
      <c r="AR49" s="127">
        <f>Ejecución!AA49</f>
        <v>0</v>
      </c>
      <c r="AS49" s="127">
        <f>Ejecución!AD49</f>
        <v>0</v>
      </c>
      <c r="AT49" s="497" t="s">
        <v>1156</v>
      </c>
    </row>
    <row r="50" spans="1:46" s="139" customFormat="1" ht="240" x14ac:dyDescent="0.25">
      <c r="A50" s="192" t="s">
        <v>620</v>
      </c>
      <c r="B50" s="123">
        <v>2203018</v>
      </c>
      <c r="C50" s="110" t="s">
        <v>470</v>
      </c>
      <c r="D50" s="124" t="s">
        <v>139</v>
      </c>
      <c r="E50" s="124" t="s">
        <v>130</v>
      </c>
      <c r="F50" s="175" t="s">
        <v>586</v>
      </c>
      <c r="G50" s="193" t="s">
        <v>63</v>
      </c>
      <c r="H50" s="127" t="s">
        <v>460</v>
      </c>
      <c r="I50" s="127" t="s">
        <v>60</v>
      </c>
      <c r="J50" s="180" t="s">
        <v>382</v>
      </c>
      <c r="K50" s="181"/>
      <c r="L50" s="182">
        <f>2953112*3</f>
        <v>8859336</v>
      </c>
      <c r="M50" s="166"/>
      <c r="N50" s="304">
        <f t="shared" si="1"/>
        <v>8859336</v>
      </c>
      <c r="O50" s="132"/>
      <c r="P50" s="132"/>
      <c r="Q50" s="132"/>
      <c r="R50" s="132"/>
      <c r="S50" s="132"/>
      <c r="T50" s="132"/>
      <c r="U50" s="165"/>
      <c r="V50" s="184">
        <v>8859336</v>
      </c>
      <c r="W50" s="184"/>
      <c r="X50" s="130"/>
      <c r="Y50" s="130">
        <f t="shared" si="6"/>
        <v>0</v>
      </c>
      <c r="Z50" s="130"/>
      <c r="AA50" s="303">
        <f t="shared" si="7"/>
        <v>0</v>
      </c>
      <c r="AB50" s="135" t="s">
        <v>59</v>
      </c>
      <c r="AC50" s="143" t="s">
        <v>94</v>
      </c>
      <c r="AD50" s="143" t="s">
        <v>32</v>
      </c>
      <c r="AE50" s="143" t="s">
        <v>650</v>
      </c>
      <c r="AF50" s="144" t="s">
        <v>699</v>
      </c>
      <c r="AG50" s="144" t="s">
        <v>699</v>
      </c>
      <c r="AH50" s="137">
        <v>1</v>
      </c>
      <c r="AI50" s="137" t="s">
        <v>503</v>
      </c>
      <c r="AJ50" s="143" t="s">
        <v>16</v>
      </c>
      <c r="AK50" s="127">
        <f>Ejecución!V50</f>
        <v>9911400</v>
      </c>
      <c r="AL50" s="127">
        <f>Ejecución!W50</f>
        <v>0</v>
      </c>
      <c r="AM50" s="127">
        <f>Ejecución!Y50</f>
        <v>0</v>
      </c>
      <c r="AN50" s="127">
        <f>Ejecución!Z50</f>
        <v>0</v>
      </c>
      <c r="AO50" s="127">
        <f>Ejecución!AB50</f>
        <v>0</v>
      </c>
      <c r="AP50" s="127">
        <f>Ejecución!AC50</f>
        <v>0</v>
      </c>
      <c r="AQ50" s="127">
        <f>Ejecución!X50</f>
        <v>9911400</v>
      </c>
      <c r="AR50" s="127">
        <f>Ejecución!AA50</f>
        <v>0</v>
      </c>
      <c r="AS50" s="127">
        <f>Ejecución!AD50</f>
        <v>0</v>
      </c>
      <c r="AT50" s="497" t="s">
        <v>860</v>
      </c>
    </row>
    <row r="51" spans="1:46" s="139" customFormat="1" ht="408.75" customHeight="1" x14ac:dyDescent="0.25">
      <c r="A51" s="192" t="s">
        <v>620</v>
      </c>
      <c r="B51" s="123">
        <v>2203018</v>
      </c>
      <c r="C51" s="110" t="s">
        <v>470</v>
      </c>
      <c r="D51" s="124" t="s">
        <v>139</v>
      </c>
      <c r="E51" s="124" t="s">
        <v>130</v>
      </c>
      <c r="F51" s="175" t="s">
        <v>586</v>
      </c>
      <c r="G51" s="193" t="s">
        <v>63</v>
      </c>
      <c r="H51" s="127" t="s">
        <v>460</v>
      </c>
      <c r="I51" s="127" t="s">
        <v>60</v>
      </c>
      <c r="J51" s="127" t="s">
        <v>869</v>
      </c>
      <c r="K51" s="181"/>
      <c r="L51" s="182"/>
      <c r="M51" s="166"/>
      <c r="N51" s="304">
        <f t="shared" ref="N51" si="10">K51+L51+M51</f>
        <v>0</v>
      </c>
      <c r="O51" s="132"/>
      <c r="P51" s="132">
        <v>28859336</v>
      </c>
      <c r="Q51" s="132"/>
      <c r="R51" s="132"/>
      <c r="S51" s="132"/>
      <c r="T51" s="132"/>
      <c r="U51" s="165"/>
      <c r="V51" s="184">
        <f>2115756+2500000+1520090</f>
        <v>6135846</v>
      </c>
      <c r="W51" s="184"/>
      <c r="X51" s="130"/>
      <c r="Y51" s="130">
        <f t="shared" si="6"/>
        <v>22723490</v>
      </c>
      <c r="Z51" s="130"/>
      <c r="AA51" s="303">
        <f t="shared" ref="AA51" si="11">+Y51+Z51+X51</f>
        <v>22723490</v>
      </c>
      <c r="AB51" s="135" t="s">
        <v>59</v>
      </c>
      <c r="AC51" s="143" t="s">
        <v>24</v>
      </c>
      <c r="AD51" s="143" t="s">
        <v>32</v>
      </c>
      <c r="AE51" s="143" t="s">
        <v>1072</v>
      </c>
      <c r="AF51" s="144" t="s">
        <v>425</v>
      </c>
      <c r="AG51" s="144" t="s">
        <v>425</v>
      </c>
      <c r="AH51" s="137">
        <v>1</v>
      </c>
      <c r="AI51" s="137" t="s">
        <v>503</v>
      </c>
      <c r="AJ51" s="143" t="s">
        <v>685</v>
      </c>
      <c r="AK51" s="127">
        <f>Ejecución!V51</f>
        <v>0</v>
      </c>
      <c r="AL51" s="127">
        <f>Ejecución!W51</f>
        <v>1951837</v>
      </c>
      <c r="AM51" s="127">
        <f>Ejecución!Y51</f>
        <v>0</v>
      </c>
      <c r="AN51" s="127">
        <f>Ejecución!Z51</f>
        <v>0</v>
      </c>
      <c r="AO51" s="127">
        <f>Ejecución!AB51</f>
        <v>0</v>
      </c>
      <c r="AP51" s="127">
        <f>Ejecución!AC51</f>
        <v>0</v>
      </c>
      <c r="AQ51" s="127">
        <f>Ejecución!X51</f>
        <v>0</v>
      </c>
      <c r="AR51" s="127">
        <f>Ejecución!AA51</f>
        <v>0</v>
      </c>
      <c r="AS51" s="127">
        <f>Ejecución!AD51</f>
        <v>0</v>
      </c>
      <c r="AT51" s="497" t="s">
        <v>1127</v>
      </c>
    </row>
    <row r="52" spans="1:46" ht="408.75" customHeight="1" x14ac:dyDescent="0.25">
      <c r="A52" s="122" t="s">
        <v>597</v>
      </c>
      <c r="B52" s="123">
        <v>2203018</v>
      </c>
      <c r="C52" s="110" t="s">
        <v>470</v>
      </c>
      <c r="D52" s="124" t="s">
        <v>139</v>
      </c>
      <c r="E52" s="124" t="s">
        <v>130</v>
      </c>
      <c r="F52" s="175" t="s">
        <v>586</v>
      </c>
      <c r="G52" s="193" t="s">
        <v>63</v>
      </c>
      <c r="H52" s="127" t="s">
        <v>460</v>
      </c>
      <c r="I52" s="127" t="s">
        <v>60</v>
      </c>
      <c r="J52" s="190" t="s">
        <v>298</v>
      </c>
      <c r="K52" s="182">
        <v>70000000</v>
      </c>
      <c r="L52" s="166"/>
      <c r="M52" s="166"/>
      <c r="N52" s="304">
        <f t="shared" si="1"/>
        <v>70000000</v>
      </c>
      <c r="O52" s="132"/>
      <c r="P52" s="184">
        <f>2115756+19200000</f>
        <v>21315756</v>
      </c>
      <c r="Q52" s="132"/>
      <c r="R52" s="132"/>
      <c r="S52" s="132"/>
      <c r="T52" s="132"/>
      <c r="U52" s="165">
        <v>459355</v>
      </c>
      <c r="V52" s="184"/>
      <c r="W52" s="184"/>
      <c r="X52" s="130">
        <f>+K52-U52</f>
        <v>69540645</v>
      </c>
      <c r="Y52" s="130">
        <f t="shared" si="6"/>
        <v>21315756</v>
      </c>
      <c r="Z52" s="130"/>
      <c r="AA52" s="303">
        <f>+Y52+Z52+X52</f>
        <v>90856401</v>
      </c>
      <c r="AB52" s="135" t="s">
        <v>59</v>
      </c>
      <c r="AC52" s="143" t="s">
        <v>24</v>
      </c>
      <c r="AD52" s="143" t="s">
        <v>32</v>
      </c>
      <c r="AE52" s="143">
        <v>56111500</v>
      </c>
      <c r="AF52" s="142" t="s">
        <v>420</v>
      </c>
      <c r="AG52" s="142" t="s">
        <v>420</v>
      </c>
      <c r="AH52" s="137">
        <v>10</v>
      </c>
      <c r="AI52" s="137" t="s">
        <v>503</v>
      </c>
      <c r="AJ52" s="143" t="s">
        <v>22</v>
      </c>
      <c r="AK52" s="127">
        <f>Ejecución!V52</f>
        <v>0</v>
      </c>
      <c r="AL52" s="127">
        <f>Ejecución!W52</f>
        <v>0</v>
      </c>
      <c r="AM52" s="127">
        <f>Ejecución!Y52</f>
        <v>0</v>
      </c>
      <c r="AN52" s="127">
        <f>Ejecución!Z52</f>
        <v>0</v>
      </c>
      <c r="AO52" s="127">
        <f>Ejecución!AB52</f>
        <v>0</v>
      </c>
      <c r="AP52" s="127">
        <f>Ejecución!AC52</f>
        <v>0</v>
      </c>
      <c r="AQ52" s="127">
        <f>Ejecución!X52</f>
        <v>0</v>
      </c>
      <c r="AR52" s="127">
        <f>Ejecución!AA52</f>
        <v>0</v>
      </c>
      <c r="AS52" s="127">
        <f>Ejecución!AD52</f>
        <v>0</v>
      </c>
      <c r="AT52" s="497" t="s">
        <v>965</v>
      </c>
    </row>
    <row r="53" spans="1:46" s="475" customFormat="1" ht="409.5" x14ac:dyDescent="0.25">
      <c r="A53" s="122" t="s">
        <v>587</v>
      </c>
      <c r="B53" s="123">
        <v>2203018</v>
      </c>
      <c r="C53" s="110" t="s">
        <v>470</v>
      </c>
      <c r="D53" s="124" t="s">
        <v>139</v>
      </c>
      <c r="E53" s="124" t="s">
        <v>130</v>
      </c>
      <c r="F53" s="175" t="s">
        <v>586</v>
      </c>
      <c r="G53" s="194" t="s">
        <v>71</v>
      </c>
      <c r="H53" s="127" t="s">
        <v>40</v>
      </c>
      <c r="I53" s="127" t="s">
        <v>40</v>
      </c>
      <c r="J53" s="190" t="s">
        <v>145</v>
      </c>
      <c r="K53" s="195">
        <v>7721757</v>
      </c>
      <c r="L53" s="166"/>
      <c r="M53" s="166"/>
      <c r="N53" s="304">
        <f t="shared" si="1"/>
        <v>7721757</v>
      </c>
      <c r="O53" s="132"/>
      <c r="P53" s="132"/>
      <c r="Q53" s="132"/>
      <c r="R53" s="132"/>
      <c r="S53" s="132"/>
      <c r="T53" s="132"/>
      <c r="U53" s="165">
        <v>7721757</v>
      </c>
      <c r="V53" s="165"/>
      <c r="W53" s="184"/>
      <c r="X53" s="130">
        <f>+K53-U53</f>
        <v>0</v>
      </c>
      <c r="Y53" s="130">
        <f t="shared" si="6"/>
        <v>0</v>
      </c>
      <c r="Z53" s="130"/>
      <c r="AA53" s="303">
        <f t="shared" si="7"/>
        <v>0</v>
      </c>
      <c r="AB53" s="135" t="s">
        <v>59</v>
      </c>
      <c r="AC53" s="143" t="s">
        <v>14</v>
      </c>
      <c r="AD53" s="143" t="s">
        <v>48</v>
      </c>
      <c r="AE53" s="143">
        <v>80101505</v>
      </c>
      <c r="AF53" s="142" t="s">
        <v>700</v>
      </c>
      <c r="AG53" s="142" t="s">
        <v>700</v>
      </c>
      <c r="AH53" s="136" t="s">
        <v>701</v>
      </c>
      <c r="AI53" s="137" t="s">
        <v>503</v>
      </c>
      <c r="AJ53" s="143" t="s">
        <v>16</v>
      </c>
      <c r="AK53" s="127">
        <f>Ejecución!V53</f>
        <v>0</v>
      </c>
      <c r="AL53" s="127">
        <f>Ejecución!W53</f>
        <v>0</v>
      </c>
      <c r="AM53" s="127">
        <f>Ejecución!Y53</f>
        <v>0</v>
      </c>
      <c r="AN53" s="127">
        <f>Ejecución!Z53</f>
        <v>0</v>
      </c>
      <c r="AO53" s="127">
        <f>Ejecución!AB53</f>
        <v>0</v>
      </c>
      <c r="AP53" s="127">
        <f>Ejecución!AC53</f>
        <v>0</v>
      </c>
      <c r="AQ53" s="127">
        <f>Ejecución!X53</f>
        <v>0</v>
      </c>
      <c r="AR53" s="127">
        <f>Ejecución!AA53</f>
        <v>0</v>
      </c>
      <c r="AS53" s="127">
        <f>Ejecución!AD53</f>
        <v>0</v>
      </c>
      <c r="AT53" s="497" t="s">
        <v>876</v>
      </c>
    </row>
    <row r="54" spans="1:46" s="139" customFormat="1" ht="240" x14ac:dyDescent="0.25">
      <c r="A54" s="122" t="s">
        <v>587</v>
      </c>
      <c r="B54" s="123">
        <v>2203018</v>
      </c>
      <c r="C54" s="110" t="s">
        <v>470</v>
      </c>
      <c r="D54" s="124" t="s">
        <v>139</v>
      </c>
      <c r="E54" s="124" t="s">
        <v>130</v>
      </c>
      <c r="F54" s="175" t="s">
        <v>586</v>
      </c>
      <c r="G54" s="194" t="s">
        <v>71</v>
      </c>
      <c r="H54" s="127" t="s">
        <v>40</v>
      </c>
      <c r="I54" s="127" t="s">
        <v>40</v>
      </c>
      <c r="J54" s="190" t="s">
        <v>702</v>
      </c>
      <c r="K54" s="191">
        <f>2172363*11</f>
        <v>23895993</v>
      </c>
      <c r="L54" s="166"/>
      <c r="M54" s="166"/>
      <c r="N54" s="304">
        <f t="shared" si="1"/>
        <v>23895993</v>
      </c>
      <c r="O54" s="132"/>
      <c r="P54" s="132"/>
      <c r="Q54" s="132"/>
      <c r="R54" s="132"/>
      <c r="S54" s="132"/>
      <c r="T54" s="132"/>
      <c r="U54" s="165">
        <f>1800000+22095993</f>
        <v>23895993</v>
      </c>
      <c r="V54" s="165"/>
      <c r="W54" s="165"/>
      <c r="X54" s="130">
        <f>+K54+O54+R54-U54</f>
        <v>0</v>
      </c>
      <c r="Y54" s="130">
        <f t="shared" si="6"/>
        <v>0</v>
      </c>
      <c r="Z54" s="130"/>
      <c r="AA54" s="303">
        <f t="shared" si="7"/>
        <v>0</v>
      </c>
      <c r="AB54" s="135" t="s">
        <v>59</v>
      </c>
      <c r="AC54" s="143" t="s">
        <v>14</v>
      </c>
      <c r="AD54" s="143" t="s">
        <v>48</v>
      </c>
      <c r="AE54" s="143">
        <v>80101505</v>
      </c>
      <c r="AF54" s="142" t="s">
        <v>424</v>
      </c>
      <c r="AG54" s="142" t="s">
        <v>424</v>
      </c>
      <c r="AH54" s="136" t="s">
        <v>707</v>
      </c>
      <c r="AI54" s="137" t="s">
        <v>503</v>
      </c>
      <c r="AJ54" s="143" t="s">
        <v>16</v>
      </c>
      <c r="AK54" s="127">
        <f>Ejecución!V54</f>
        <v>0</v>
      </c>
      <c r="AL54" s="127">
        <f>Ejecución!W54</f>
        <v>0</v>
      </c>
      <c r="AM54" s="127">
        <f>Ejecución!Y54</f>
        <v>0</v>
      </c>
      <c r="AN54" s="127">
        <f>Ejecución!Z54</f>
        <v>0</v>
      </c>
      <c r="AO54" s="127">
        <f>Ejecución!AB54</f>
        <v>0</v>
      </c>
      <c r="AP54" s="127">
        <f>Ejecución!AC54</f>
        <v>0</v>
      </c>
      <c r="AQ54" s="127">
        <f>Ejecución!X54</f>
        <v>0</v>
      </c>
      <c r="AR54" s="127">
        <f>Ejecución!AA54</f>
        <v>0</v>
      </c>
      <c r="AS54" s="127">
        <f>Ejecución!AD54</f>
        <v>0</v>
      </c>
      <c r="AT54" s="499" t="s">
        <v>924</v>
      </c>
    </row>
    <row r="55" spans="1:46" s="139" customFormat="1" ht="409.5" x14ac:dyDescent="0.25">
      <c r="A55" s="122" t="s">
        <v>587</v>
      </c>
      <c r="B55" s="123">
        <v>2203018</v>
      </c>
      <c r="C55" s="110" t="s">
        <v>470</v>
      </c>
      <c r="D55" s="124" t="s">
        <v>139</v>
      </c>
      <c r="E55" s="124" t="s">
        <v>130</v>
      </c>
      <c r="F55" s="175" t="s">
        <v>586</v>
      </c>
      <c r="G55" s="194" t="s">
        <v>71</v>
      </c>
      <c r="H55" s="127" t="s">
        <v>40</v>
      </c>
      <c r="I55" s="127" t="s">
        <v>40</v>
      </c>
      <c r="J55" s="190" t="s">
        <v>746</v>
      </c>
      <c r="K55" s="191"/>
      <c r="L55" s="166"/>
      <c r="M55" s="166"/>
      <c r="N55" s="304"/>
      <c r="O55" s="132">
        <v>1800000</v>
      </c>
      <c r="P55" s="132"/>
      <c r="Q55" s="132"/>
      <c r="R55" s="132"/>
      <c r="S55" s="132"/>
      <c r="T55" s="132"/>
      <c r="U55" s="165">
        <v>1800000</v>
      </c>
      <c r="V55" s="165"/>
      <c r="W55" s="165"/>
      <c r="X55" s="130">
        <f>+K55+O55+R55-U55</f>
        <v>0</v>
      </c>
      <c r="Y55" s="130">
        <f t="shared" si="6"/>
        <v>0</v>
      </c>
      <c r="Z55" s="130"/>
      <c r="AA55" s="303">
        <f t="shared" si="7"/>
        <v>0</v>
      </c>
      <c r="AB55" s="135" t="s">
        <v>59</v>
      </c>
      <c r="AC55" s="143" t="s">
        <v>14</v>
      </c>
      <c r="AD55" s="143" t="s">
        <v>48</v>
      </c>
      <c r="AE55" s="143">
        <v>80101505</v>
      </c>
      <c r="AF55" s="142" t="s">
        <v>421</v>
      </c>
      <c r="AG55" s="142" t="s">
        <v>424</v>
      </c>
      <c r="AH55" s="137">
        <v>2</v>
      </c>
      <c r="AI55" s="137" t="s">
        <v>503</v>
      </c>
      <c r="AJ55" s="143" t="s">
        <v>16</v>
      </c>
      <c r="AK55" s="127">
        <f>Ejecución!V55</f>
        <v>0</v>
      </c>
      <c r="AL55" s="127">
        <f>Ejecución!W55</f>
        <v>0</v>
      </c>
      <c r="AM55" s="127">
        <f>Ejecución!Y55</f>
        <v>0</v>
      </c>
      <c r="AN55" s="127">
        <f>Ejecución!Z55</f>
        <v>0</v>
      </c>
      <c r="AO55" s="127">
        <f>Ejecución!AB55</f>
        <v>0</v>
      </c>
      <c r="AP55" s="127">
        <f>Ejecución!AC55</f>
        <v>0</v>
      </c>
      <c r="AQ55" s="127">
        <f>Ejecución!X55</f>
        <v>0</v>
      </c>
      <c r="AR55" s="127">
        <f>Ejecución!AA55</f>
        <v>0</v>
      </c>
      <c r="AS55" s="127">
        <f>Ejecución!AD55</f>
        <v>0</v>
      </c>
      <c r="AT55" s="499" t="s">
        <v>877</v>
      </c>
    </row>
    <row r="56" spans="1:46" s="139" customFormat="1" ht="409.5" x14ac:dyDescent="0.25">
      <c r="A56" s="122" t="s">
        <v>587</v>
      </c>
      <c r="B56" s="123">
        <v>2203018</v>
      </c>
      <c r="C56" s="110" t="s">
        <v>470</v>
      </c>
      <c r="D56" s="124" t="s">
        <v>139</v>
      </c>
      <c r="E56" s="124" t="s">
        <v>130</v>
      </c>
      <c r="F56" s="175" t="s">
        <v>586</v>
      </c>
      <c r="G56" s="194" t="s">
        <v>71</v>
      </c>
      <c r="H56" s="127" t="s">
        <v>40</v>
      </c>
      <c r="I56" s="127" t="s">
        <v>40</v>
      </c>
      <c r="J56" s="190" t="s">
        <v>72</v>
      </c>
      <c r="K56" s="196">
        <f>832464*9</f>
        <v>7492176</v>
      </c>
      <c r="L56" s="166"/>
      <c r="M56" s="166"/>
      <c r="N56" s="304">
        <f t="shared" si="1"/>
        <v>7492176</v>
      </c>
      <c r="O56" s="132"/>
      <c r="P56" s="132"/>
      <c r="Q56" s="132"/>
      <c r="R56" s="132"/>
      <c r="S56" s="132"/>
      <c r="T56" s="132"/>
      <c r="U56" s="165">
        <v>7492176</v>
      </c>
      <c r="V56" s="165"/>
      <c r="W56" s="184"/>
      <c r="X56" s="130">
        <f>+K56-U56</f>
        <v>0</v>
      </c>
      <c r="Y56" s="130">
        <f t="shared" si="6"/>
        <v>0</v>
      </c>
      <c r="Z56" s="130"/>
      <c r="AA56" s="303">
        <f t="shared" si="7"/>
        <v>0</v>
      </c>
      <c r="AB56" s="135" t="s">
        <v>59</v>
      </c>
      <c r="AC56" s="143" t="s">
        <v>14</v>
      </c>
      <c r="AD56" s="143" t="s">
        <v>48</v>
      </c>
      <c r="AE56" s="143">
        <v>80101505</v>
      </c>
      <c r="AF56" s="142" t="s">
        <v>700</v>
      </c>
      <c r="AG56" s="142" t="s">
        <v>700</v>
      </c>
      <c r="AH56" s="136" t="s">
        <v>701</v>
      </c>
      <c r="AI56" s="137" t="s">
        <v>503</v>
      </c>
      <c r="AJ56" s="143" t="s">
        <v>16</v>
      </c>
      <c r="AK56" s="127">
        <f>Ejecución!V56</f>
        <v>0</v>
      </c>
      <c r="AL56" s="127">
        <f>Ejecución!W56</f>
        <v>0</v>
      </c>
      <c r="AM56" s="127">
        <f>Ejecución!Y56</f>
        <v>0</v>
      </c>
      <c r="AN56" s="127">
        <f>Ejecución!Z56</f>
        <v>0</v>
      </c>
      <c r="AO56" s="127">
        <f>Ejecución!AB56</f>
        <v>0</v>
      </c>
      <c r="AP56" s="127">
        <f>Ejecución!AC56</f>
        <v>0</v>
      </c>
      <c r="AQ56" s="127">
        <f>Ejecución!X56</f>
        <v>0</v>
      </c>
      <c r="AR56" s="127">
        <f>Ejecución!AA56</f>
        <v>0</v>
      </c>
      <c r="AS56" s="127">
        <f>Ejecución!AD56</f>
        <v>0</v>
      </c>
      <c r="AT56" s="497" t="s">
        <v>876</v>
      </c>
    </row>
    <row r="57" spans="1:46" ht="280.5" x14ac:dyDescent="0.25">
      <c r="A57" s="122" t="s">
        <v>621</v>
      </c>
      <c r="B57" s="123">
        <v>2203018</v>
      </c>
      <c r="C57" s="110" t="s">
        <v>470</v>
      </c>
      <c r="D57" s="124" t="s">
        <v>139</v>
      </c>
      <c r="E57" s="124" t="s">
        <v>130</v>
      </c>
      <c r="F57" s="175" t="s">
        <v>586</v>
      </c>
      <c r="G57" s="197" t="s">
        <v>64</v>
      </c>
      <c r="H57" s="127" t="s">
        <v>40</v>
      </c>
      <c r="I57" s="127" t="s">
        <v>40</v>
      </c>
      <c r="J57" s="190" t="s">
        <v>946</v>
      </c>
      <c r="K57" s="181"/>
      <c r="L57" s="163">
        <v>15000000</v>
      </c>
      <c r="M57" s="166"/>
      <c r="N57" s="304">
        <f t="shared" si="1"/>
        <v>15000000</v>
      </c>
      <c r="O57" s="132">
        <f>22095993+10183725</f>
        <v>32279718</v>
      </c>
      <c r="P57" s="132"/>
      <c r="Q57" s="132"/>
      <c r="R57" s="132"/>
      <c r="S57" s="132"/>
      <c r="T57" s="132"/>
      <c r="U57" s="165"/>
      <c r="V57" s="165"/>
      <c r="W57" s="165"/>
      <c r="X57" s="130">
        <f>+K57+O57-U57</f>
        <v>32279718</v>
      </c>
      <c r="Y57" s="130">
        <f t="shared" si="6"/>
        <v>15000000</v>
      </c>
      <c r="Z57" s="130"/>
      <c r="AA57" s="303">
        <f t="shared" si="7"/>
        <v>47279718</v>
      </c>
      <c r="AB57" s="135" t="s">
        <v>59</v>
      </c>
      <c r="AC57" s="143" t="s">
        <v>21</v>
      </c>
      <c r="AD57" s="143" t="s">
        <v>48</v>
      </c>
      <c r="AE57" s="143" t="s">
        <v>1027</v>
      </c>
      <c r="AF57" s="142" t="s">
        <v>925</v>
      </c>
      <c r="AG57" s="142" t="s">
        <v>925</v>
      </c>
      <c r="AH57" s="136">
        <v>2</v>
      </c>
      <c r="AI57" s="137" t="s">
        <v>503</v>
      </c>
      <c r="AJ57" s="143" t="s">
        <v>22</v>
      </c>
      <c r="AK57" s="127">
        <f>Ejecución!V57</f>
        <v>32279718</v>
      </c>
      <c r="AL57" s="127">
        <f>Ejecución!W57</f>
        <v>0</v>
      </c>
      <c r="AM57" s="127">
        <f>Ejecución!Y57</f>
        <v>8669136</v>
      </c>
      <c r="AN57" s="127">
        <f>Ejecución!Z57</f>
        <v>6330864</v>
      </c>
      <c r="AO57" s="127">
        <f>Ejecución!AB57</f>
        <v>0</v>
      </c>
      <c r="AP57" s="127">
        <f>Ejecución!AC57</f>
        <v>0</v>
      </c>
      <c r="AQ57" s="127">
        <f>Ejecución!X57</f>
        <v>0</v>
      </c>
      <c r="AR57" s="127">
        <f>Ejecución!AA57</f>
        <v>0</v>
      </c>
      <c r="AS57" s="127">
        <f>Ejecución!AD57</f>
        <v>0</v>
      </c>
      <c r="AT57" s="497" t="s">
        <v>947</v>
      </c>
    </row>
    <row r="58" spans="1:46" ht="240" x14ac:dyDescent="0.25">
      <c r="A58" s="122" t="s">
        <v>587</v>
      </c>
      <c r="B58" s="123">
        <v>2203018</v>
      </c>
      <c r="C58" s="110" t="s">
        <v>470</v>
      </c>
      <c r="D58" s="124" t="s">
        <v>139</v>
      </c>
      <c r="E58" s="124" t="s">
        <v>130</v>
      </c>
      <c r="F58" s="175" t="s">
        <v>586</v>
      </c>
      <c r="G58" s="197" t="s">
        <v>64</v>
      </c>
      <c r="H58" s="127" t="s">
        <v>40</v>
      </c>
      <c r="I58" s="127" t="s">
        <v>40</v>
      </c>
      <c r="J58" s="190" t="s">
        <v>70</v>
      </c>
      <c r="K58" s="191">
        <f>3394575*3</f>
        <v>10183725</v>
      </c>
      <c r="L58" s="166"/>
      <c r="M58" s="166"/>
      <c r="N58" s="304">
        <f t="shared" si="1"/>
        <v>10183725</v>
      </c>
      <c r="O58" s="132"/>
      <c r="P58" s="132"/>
      <c r="Q58" s="132"/>
      <c r="R58" s="132"/>
      <c r="S58" s="132"/>
      <c r="T58" s="132"/>
      <c r="U58" s="165">
        <v>10183725</v>
      </c>
      <c r="V58" s="165"/>
      <c r="W58" s="165"/>
      <c r="X58" s="130">
        <f>+K58-U58</f>
        <v>0</v>
      </c>
      <c r="Y58" s="130">
        <f t="shared" si="6"/>
        <v>0</v>
      </c>
      <c r="Z58" s="130"/>
      <c r="AA58" s="303">
        <f t="shared" si="7"/>
        <v>0</v>
      </c>
      <c r="AB58" s="135" t="s">
        <v>59</v>
      </c>
      <c r="AC58" s="143" t="s">
        <v>14</v>
      </c>
      <c r="AD58" s="143" t="s">
        <v>48</v>
      </c>
      <c r="AE58" s="143">
        <v>80101505</v>
      </c>
      <c r="AF58" s="142" t="s">
        <v>700</v>
      </c>
      <c r="AG58" s="142" t="s">
        <v>700</v>
      </c>
      <c r="AH58" s="136" t="s">
        <v>701</v>
      </c>
      <c r="AI58" s="137" t="s">
        <v>503</v>
      </c>
      <c r="AJ58" s="143" t="s">
        <v>16</v>
      </c>
      <c r="AK58" s="127">
        <f>Ejecución!V58</f>
        <v>0</v>
      </c>
      <c r="AL58" s="127">
        <f>Ejecución!W58</f>
        <v>0</v>
      </c>
      <c r="AM58" s="127">
        <f>Ejecución!Y58</f>
        <v>0</v>
      </c>
      <c r="AN58" s="127">
        <f>Ejecución!Z58</f>
        <v>0</v>
      </c>
      <c r="AO58" s="127">
        <f>Ejecución!AB58</f>
        <v>0</v>
      </c>
      <c r="AP58" s="127">
        <f>Ejecución!AC58</f>
        <v>0</v>
      </c>
      <c r="AQ58" s="127">
        <f>Ejecución!X58</f>
        <v>0</v>
      </c>
      <c r="AR58" s="127">
        <f>Ejecución!AA58</f>
        <v>0</v>
      </c>
      <c r="AS58" s="127">
        <f>Ejecución!AD58</f>
        <v>0</v>
      </c>
      <c r="AT58" s="497" t="s">
        <v>948</v>
      </c>
    </row>
    <row r="59" spans="1:46" s="139" customFormat="1" ht="409.5" x14ac:dyDescent="0.25">
      <c r="A59" s="122" t="s">
        <v>599</v>
      </c>
      <c r="B59" s="123">
        <v>2203018</v>
      </c>
      <c r="C59" s="110" t="s">
        <v>470</v>
      </c>
      <c r="D59" s="124" t="s">
        <v>139</v>
      </c>
      <c r="E59" s="124" t="s">
        <v>130</v>
      </c>
      <c r="F59" s="175" t="s">
        <v>586</v>
      </c>
      <c r="G59" s="197" t="s">
        <v>64</v>
      </c>
      <c r="H59" s="127" t="s">
        <v>40</v>
      </c>
      <c r="I59" s="127" t="s">
        <v>40</v>
      </c>
      <c r="J59" s="180" t="s">
        <v>67</v>
      </c>
      <c r="K59" s="191">
        <v>1000000</v>
      </c>
      <c r="L59" s="198">
        <v>2000000</v>
      </c>
      <c r="M59" s="166"/>
      <c r="N59" s="304">
        <f t="shared" si="1"/>
        <v>3000000</v>
      </c>
      <c r="O59" s="132"/>
      <c r="P59" s="132"/>
      <c r="Q59" s="132"/>
      <c r="R59" s="132"/>
      <c r="S59" s="132"/>
      <c r="T59" s="132"/>
      <c r="U59" s="165">
        <v>1000000</v>
      </c>
      <c r="V59" s="183">
        <v>2000000</v>
      </c>
      <c r="W59" s="184"/>
      <c r="X59" s="130">
        <f>+K59-U59</f>
        <v>0</v>
      </c>
      <c r="Y59" s="130">
        <f t="shared" si="6"/>
        <v>0</v>
      </c>
      <c r="Z59" s="130"/>
      <c r="AA59" s="303">
        <f t="shared" si="7"/>
        <v>0</v>
      </c>
      <c r="AB59" s="135" t="s">
        <v>59</v>
      </c>
      <c r="AC59" s="143" t="s">
        <v>24</v>
      </c>
      <c r="AD59" s="143" t="s">
        <v>48</v>
      </c>
      <c r="AE59" s="143" t="s">
        <v>858</v>
      </c>
      <c r="AF59" s="144" t="s">
        <v>68</v>
      </c>
      <c r="AG59" s="144" t="s">
        <v>68</v>
      </c>
      <c r="AH59" s="137">
        <v>3</v>
      </c>
      <c r="AI59" s="137" t="s">
        <v>503</v>
      </c>
      <c r="AJ59" s="143" t="s">
        <v>20</v>
      </c>
      <c r="AK59" s="127">
        <f>Ejecución!V59</f>
        <v>0</v>
      </c>
      <c r="AL59" s="127">
        <f>Ejecución!W59</f>
        <v>0</v>
      </c>
      <c r="AM59" s="127">
        <f>Ejecución!Y59</f>
        <v>0</v>
      </c>
      <c r="AN59" s="127">
        <f>Ejecución!Z59</f>
        <v>0</v>
      </c>
      <c r="AO59" s="127">
        <f>Ejecución!AB59</f>
        <v>0</v>
      </c>
      <c r="AP59" s="127">
        <f>Ejecución!AC59</f>
        <v>0</v>
      </c>
      <c r="AQ59" s="127">
        <f>Ejecución!X59</f>
        <v>0</v>
      </c>
      <c r="AR59" s="127">
        <f>Ejecución!AA59</f>
        <v>0</v>
      </c>
      <c r="AS59" s="127">
        <f>Ejecución!AD59</f>
        <v>0</v>
      </c>
      <c r="AT59" s="497" t="s">
        <v>1131</v>
      </c>
    </row>
    <row r="60" spans="1:46" s="139" customFormat="1" ht="240" x14ac:dyDescent="0.25">
      <c r="A60" s="122" t="s">
        <v>587</v>
      </c>
      <c r="B60" s="123">
        <v>2203018</v>
      </c>
      <c r="C60" s="110" t="s">
        <v>470</v>
      </c>
      <c r="D60" s="124" t="s">
        <v>139</v>
      </c>
      <c r="E60" s="124" t="s">
        <v>130</v>
      </c>
      <c r="F60" s="175" t="s">
        <v>586</v>
      </c>
      <c r="G60" s="197" t="s">
        <v>64</v>
      </c>
      <c r="H60" s="127" t="s">
        <v>40</v>
      </c>
      <c r="I60" s="127" t="s">
        <v>40</v>
      </c>
      <c r="J60" s="190" t="s">
        <v>69</v>
      </c>
      <c r="K60" s="195">
        <f>3289750*11</f>
        <v>36187250</v>
      </c>
      <c r="L60" s="166"/>
      <c r="M60" s="166"/>
      <c r="N60" s="304">
        <f t="shared" si="1"/>
        <v>36187250</v>
      </c>
      <c r="O60" s="132"/>
      <c r="P60" s="132"/>
      <c r="Q60" s="132"/>
      <c r="R60" s="132"/>
      <c r="S60" s="132"/>
      <c r="T60" s="132"/>
      <c r="U60" s="165"/>
      <c r="V60" s="165"/>
      <c r="W60" s="165"/>
      <c r="X60" s="130">
        <v>36187250</v>
      </c>
      <c r="Y60" s="130">
        <f t="shared" si="6"/>
        <v>0</v>
      </c>
      <c r="Z60" s="130"/>
      <c r="AA60" s="303">
        <f t="shared" si="7"/>
        <v>36187250</v>
      </c>
      <c r="AB60" s="135" t="s">
        <v>59</v>
      </c>
      <c r="AC60" s="143" t="s">
        <v>14</v>
      </c>
      <c r="AD60" s="143" t="s">
        <v>48</v>
      </c>
      <c r="AE60" s="143">
        <v>80101505</v>
      </c>
      <c r="AF60" s="144" t="s">
        <v>61</v>
      </c>
      <c r="AG60" s="144" t="s">
        <v>61</v>
      </c>
      <c r="AH60" s="137">
        <v>11</v>
      </c>
      <c r="AI60" s="137" t="s">
        <v>503</v>
      </c>
      <c r="AJ60" s="143" t="s">
        <v>16</v>
      </c>
      <c r="AK60" s="127">
        <f>Ejecución!V60</f>
        <v>36187250</v>
      </c>
      <c r="AL60" s="127">
        <f>Ejecución!W60</f>
        <v>0</v>
      </c>
      <c r="AM60" s="127">
        <f>Ejecución!Y60</f>
        <v>0</v>
      </c>
      <c r="AN60" s="127">
        <f>Ejecución!Z60</f>
        <v>0</v>
      </c>
      <c r="AO60" s="127">
        <f>Ejecución!AB60</f>
        <v>0</v>
      </c>
      <c r="AP60" s="127">
        <f>Ejecución!AC60</f>
        <v>0</v>
      </c>
      <c r="AQ60" s="127">
        <f>Ejecución!X60</f>
        <v>36187250</v>
      </c>
      <c r="AR60" s="127">
        <f>Ejecución!AA60</f>
        <v>0</v>
      </c>
      <c r="AS60" s="127">
        <f>Ejecución!AD60</f>
        <v>0</v>
      </c>
      <c r="AT60" s="500"/>
    </row>
    <row r="61" spans="1:46" s="139" customFormat="1" ht="240" x14ac:dyDescent="0.25">
      <c r="A61" s="122" t="s">
        <v>587</v>
      </c>
      <c r="B61" s="123">
        <v>2203018</v>
      </c>
      <c r="C61" s="110" t="s">
        <v>470</v>
      </c>
      <c r="D61" s="124" t="s">
        <v>139</v>
      </c>
      <c r="E61" s="124" t="s">
        <v>130</v>
      </c>
      <c r="F61" s="175" t="s">
        <v>586</v>
      </c>
      <c r="G61" s="197" t="s">
        <v>64</v>
      </c>
      <c r="H61" s="127" t="s">
        <v>40</v>
      </c>
      <c r="I61" s="127" t="s">
        <v>40</v>
      </c>
      <c r="J61" s="190" t="s">
        <v>515</v>
      </c>
      <c r="K61" s="199">
        <f>1773302*11</f>
        <v>19506322</v>
      </c>
      <c r="L61" s="166"/>
      <c r="M61" s="166"/>
      <c r="N61" s="304">
        <f t="shared" si="1"/>
        <v>19506322</v>
      </c>
      <c r="O61" s="132"/>
      <c r="P61" s="132"/>
      <c r="Q61" s="132"/>
      <c r="R61" s="132"/>
      <c r="S61" s="132"/>
      <c r="T61" s="132"/>
      <c r="U61" s="165"/>
      <c r="V61" s="165"/>
      <c r="W61" s="165"/>
      <c r="X61" s="130">
        <v>19506322</v>
      </c>
      <c r="Y61" s="130">
        <f t="shared" si="6"/>
        <v>0</v>
      </c>
      <c r="Z61" s="130"/>
      <c r="AA61" s="303">
        <f t="shared" si="7"/>
        <v>19506322</v>
      </c>
      <c r="AB61" s="135" t="s">
        <v>59</v>
      </c>
      <c r="AC61" s="143" t="s">
        <v>14</v>
      </c>
      <c r="AD61" s="143" t="s">
        <v>48</v>
      </c>
      <c r="AE61" s="143">
        <v>80101505</v>
      </c>
      <c r="AF61" s="144" t="s">
        <v>61</v>
      </c>
      <c r="AG61" s="144" t="s">
        <v>61</v>
      </c>
      <c r="AH61" s="137">
        <v>11</v>
      </c>
      <c r="AI61" s="137" t="s">
        <v>503</v>
      </c>
      <c r="AJ61" s="143" t="s">
        <v>16</v>
      </c>
      <c r="AK61" s="127">
        <f>Ejecución!V61</f>
        <v>19506300</v>
      </c>
      <c r="AL61" s="127">
        <f>Ejecución!W61</f>
        <v>22</v>
      </c>
      <c r="AM61" s="127">
        <f>Ejecución!Y61</f>
        <v>0</v>
      </c>
      <c r="AN61" s="127">
        <f>Ejecución!Z61</f>
        <v>0</v>
      </c>
      <c r="AO61" s="127">
        <f>Ejecución!AB61</f>
        <v>0</v>
      </c>
      <c r="AP61" s="127">
        <f>Ejecución!AC61</f>
        <v>0</v>
      </c>
      <c r="AQ61" s="127">
        <f>Ejecución!X61</f>
        <v>19506300</v>
      </c>
      <c r="AR61" s="127">
        <f>Ejecución!AA61</f>
        <v>0</v>
      </c>
      <c r="AS61" s="127">
        <f>Ejecución!AD61</f>
        <v>0</v>
      </c>
      <c r="AT61" s="501"/>
    </row>
    <row r="62" spans="1:46" s="139" customFormat="1" ht="240" x14ac:dyDescent="0.25">
      <c r="A62" s="122" t="s">
        <v>587</v>
      </c>
      <c r="B62" s="123">
        <v>2203018</v>
      </c>
      <c r="C62" s="110" t="s">
        <v>470</v>
      </c>
      <c r="D62" s="124" t="s">
        <v>139</v>
      </c>
      <c r="E62" s="124" t="s">
        <v>130</v>
      </c>
      <c r="F62" s="175" t="s">
        <v>586</v>
      </c>
      <c r="G62" s="197" t="s">
        <v>64</v>
      </c>
      <c r="H62" s="127" t="s">
        <v>40</v>
      </c>
      <c r="I62" s="127" t="s">
        <v>40</v>
      </c>
      <c r="J62" s="190" t="s">
        <v>514</v>
      </c>
      <c r="K62" s="146">
        <f>1773302*11</f>
        <v>19506322</v>
      </c>
      <c r="L62" s="166"/>
      <c r="M62" s="166"/>
      <c r="N62" s="304">
        <f t="shared" si="1"/>
        <v>19506322</v>
      </c>
      <c r="O62" s="132"/>
      <c r="P62" s="132"/>
      <c r="Q62" s="132"/>
      <c r="R62" s="132"/>
      <c r="S62" s="132"/>
      <c r="T62" s="132"/>
      <c r="U62" s="165"/>
      <c r="V62" s="165"/>
      <c r="W62" s="165"/>
      <c r="X62" s="130">
        <v>19506322</v>
      </c>
      <c r="Y62" s="130">
        <f t="shared" si="6"/>
        <v>0</v>
      </c>
      <c r="Z62" s="130"/>
      <c r="AA62" s="303">
        <f t="shared" si="7"/>
        <v>19506322</v>
      </c>
      <c r="AB62" s="135" t="s">
        <v>59</v>
      </c>
      <c r="AC62" s="143" t="s">
        <v>14</v>
      </c>
      <c r="AD62" s="143" t="s">
        <v>48</v>
      </c>
      <c r="AE62" s="143">
        <v>80101505</v>
      </c>
      <c r="AF62" s="144" t="s">
        <v>61</v>
      </c>
      <c r="AG62" s="144" t="s">
        <v>61</v>
      </c>
      <c r="AH62" s="137">
        <v>11</v>
      </c>
      <c r="AI62" s="137" t="s">
        <v>503</v>
      </c>
      <c r="AJ62" s="143" t="s">
        <v>16</v>
      </c>
      <c r="AK62" s="127">
        <f>Ejecución!V62</f>
        <v>19506300</v>
      </c>
      <c r="AL62" s="127">
        <f>Ejecución!W62</f>
        <v>22</v>
      </c>
      <c r="AM62" s="127">
        <f>Ejecución!Y62</f>
        <v>0</v>
      </c>
      <c r="AN62" s="127">
        <f>Ejecución!Z62</f>
        <v>0</v>
      </c>
      <c r="AO62" s="127">
        <f>Ejecución!AB62</f>
        <v>0</v>
      </c>
      <c r="AP62" s="127">
        <f>Ejecución!AC62</f>
        <v>0</v>
      </c>
      <c r="AQ62" s="127">
        <f>Ejecución!X62</f>
        <v>19506300</v>
      </c>
      <c r="AR62" s="127">
        <f>Ejecución!AA62</f>
        <v>0</v>
      </c>
      <c r="AS62" s="127">
        <f>Ejecución!AD62</f>
        <v>0</v>
      </c>
      <c r="AT62" s="501"/>
    </row>
    <row r="63" spans="1:46" ht="409.5" x14ac:dyDescent="0.25">
      <c r="A63" s="200" t="s">
        <v>617</v>
      </c>
      <c r="B63" s="123">
        <v>2203018</v>
      </c>
      <c r="C63" s="110" t="s">
        <v>470</v>
      </c>
      <c r="D63" s="124" t="s">
        <v>139</v>
      </c>
      <c r="E63" s="124" t="s">
        <v>130</v>
      </c>
      <c r="F63" s="175" t="s">
        <v>586</v>
      </c>
      <c r="G63" s="201" t="s">
        <v>76</v>
      </c>
      <c r="H63" s="127" t="s">
        <v>41</v>
      </c>
      <c r="I63" s="127" t="s">
        <v>41</v>
      </c>
      <c r="J63" s="159" t="s">
        <v>83</v>
      </c>
      <c r="K63" s="198">
        <v>145000000</v>
      </c>
      <c r="L63" s="166"/>
      <c r="M63" s="166"/>
      <c r="N63" s="304">
        <f t="shared" si="1"/>
        <v>145000000</v>
      </c>
      <c r="O63" s="132"/>
      <c r="P63" s="132">
        <f>1520090+4800006+354075+4052+5000000+2000000+155840</f>
        <v>13834063</v>
      </c>
      <c r="Q63" s="132"/>
      <c r="R63" s="132">
        <f>65000000+1902312+88600+17516</f>
        <v>67008428</v>
      </c>
      <c r="S63" s="132">
        <f>134078+1300000+602161+840000+6400000+7505990+44000+500000+34332</f>
        <v>17360561</v>
      </c>
      <c r="T63" s="132"/>
      <c r="U63" s="110"/>
      <c r="V63" s="165"/>
      <c r="W63" s="110"/>
      <c r="X63" s="130">
        <f>+K63+R63-U63</f>
        <v>212008428</v>
      </c>
      <c r="Y63" s="130">
        <f t="shared" si="6"/>
        <v>31194624</v>
      </c>
      <c r="Z63" s="130"/>
      <c r="AA63" s="303">
        <f t="shared" si="7"/>
        <v>243203052</v>
      </c>
      <c r="AB63" s="135" t="s">
        <v>59</v>
      </c>
      <c r="AC63" s="143" t="s">
        <v>24</v>
      </c>
      <c r="AD63" s="143" t="s">
        <v>23</v>
      </c>
      <c r="AE63" s="143" t="s">
        <v>651</v>
      </c>
      <c r="AF63" s="136" t="s">
        <v>704</v>
      </c>
      <c r="AG63" s="136" t="s">
        <v>704</v>
      </c>
      <c r="AH63" s="136" t="s">
        <v>705</v>
      </c>
      <c r="AI63" s="137" t="s">
        <v>503</v>
      </c>
      <c r="AJ63" s="143" t="s">
        <v>22</v>
      </c>
      <c r="AK63" s="127">
        <f>Ejecución!V63</f>
        <v>190987000</v>
      </c>
      <c r="AL63" s="127">
        <f>Ejecución!W63</f>
        <v>21021428</v>
      </c>
      <c r="AM63" s="127">
        <f>Ejecución!Y63</f>
        <v>0</v>
      </c>
      <c r="AN63" s="127">
        <f>Ejecución!Z63</f>
        <v>31194624</v>
      </c>
      <c r="AO63" s="127">
        <f>Ejecución!AB63</f>
        <v>0</v>
      </c>
      <c r="AP63" s="127">
        <f>Ejecución!AC63</f>
        <v>0</v>
      </c>
      <c r="AQ63" s="127">
        <f>Ejecución!X63</f>
        <v>0</v>
      </c>
      <c r="AR63" s="127">
        <f>Ejecución!AA63</f>
        <v>0</v>
      </c>
      <c r="AS63" s="127">
        <f>Ejecución!AD63</f>
        <v>0</v>
      </c>
      <c r="AT63" s="513" t="s">
        <v>1136</v>
      </c>
    </row>
    <row r="64" spans="1:46" ht="409.5" x14ac:dyDescent="0.25">
      <c r="A64" s="202" t="s">
        <v>628</v>
      </c>
      <c r="B64" s="541">
        <v>2203018</v>
      </c>
      <c r="C64" s="110" t="s">
        <v>470</v>
      </c>
      <c r="D64" s="124" t="s">
        <v>139</v>
      </c>
      <c r="E64" s="124" t="s">
        <v>130</v>
      </c>
      <c r="F64" s="175" t="s">
        <v>586</v>
      </c>
      <c r="G64" s="203" t="s">
        <v>75</v>
      </c>
      <c r="H64" s="127" t="s">
        <v>41</v>
      </c>
      <c r="I64" s="127" t="s">
        <v>41</v>
      </c>
      <c r="J64" s="127" t="s">
        <v>80</v>
      </c>
      <c r="K64" s="198">
        <v>30000000</v>
      </c>
      <c r="L64" s="166"/>
      <c r="M64" s="166"/>
      <c r="N64" s="304">
        <f t="shared" si="1"/>
        <v>30000000</v>
      </c>
      <c r="O64" s="132"/>
      <c r="P64" s="132">
        <v>515528</v>
      </c>
      <c r="Q64" s="132"/>
      <c r="R64" s="132"/>
      <c r="S64" s="132"/>
      <c r="T64" s="132"/>
      <c r="U64" s="165">
        <v>1717</v>
      </c>
      <c r="V64" s="165">
        <v>155840</v>
      </c>
      <c r="W64" s="165"/>
      <c r="X64" s="130">
        <f>+N64+R64-U64</f>
        <v>29998283</v>
      </c>
      <c r="Y64" s="130">
        <f t="shared" si="6"/>
        <v>359688</v>
      </c>
      <c r="Z64" s="130"/>
      <c r="AA64" s="303">
        <f t="shared" si="7"/>
        <v>30357971</v>
      </c>
      <c r="AB64" s="135" t="s">
        <v>59</v>
      </c>
      <c r="AC64" s="143" t="s">
        <v>24</v>
      </c>
      <c r="AD64" s="143" t="s">
        <v>23</v>
      </c>
      <c r="AE64" s="143" t="s">
        <v>887</v>
      </c>
      <c r="AF64" s="144" t="s">
        <v>68</v>
      </c>
      <c r="AG64" s="144" t="s">
        <v>423</v>
      </c>
      <c r="AH64" s="137">
        <v>1</v>
      </c>
      <c r="AI64" s="137" t="s">
        <v>503</v>
      </c>
      <c r="AJ64" s="143" t="s">
        <v>467</v>
      </c>
      <c r="AK64" s="127">
        <f>Ejecución!V64</f>
        <v>29998283</v>
      </c>
      <c r="AL64" s="127">
        <f>Ejecución!W64</f>
        <v>0</v>
      </c>
      <c r="AM64" s="127">
        <f>Ejecución!Y64</f>
        <v>359688</v>
      </c>
      <c r="AN64" s="127">
        <f>Ejecución!Z64</f>
        <v>0</v>
      </c>
      <c r="AO64" s="127">
        <f>Ejecución!AB64</f>
        <v>0</v>
      </c>
      <c r="AP64" s="127">
        <f>Ejecución!AC64</f>
        <v>0</v>
      </c>
      <c r="AQ64" s="127">
        <f>Ejecución!X64</f>
        <v>29998283</v>
      </c>
      <c r="AR64" s="127">
        <f>Ejecución!AA64</f>
        <v>359688</v>
      </c>
      <c r="AS64" s="127">
        <f>Ejecución!AD64</f>
        <v>0</v>
      </c>
      <c r="AT64" s="497" t="s">
        <v>1132</v>
      </c>
    </row>
    <row r="65" spans="1:46" ht="409.5" x14ac:dyDescent="0.25">
      <c r="A65" s="122" t="s">
        <v>618</v>
      </c>
      <c r="B65" s="541">
        <v>2203018</v>
      </c>
      <c r="C65" s="110" t="s">
        <v>470</v>
      </c>
      <c r="D65" s="124" t="s">
        <v>139</v>
      </c>
      <c r="E65" s="124" t="s">
        <v>130</v>
      </c>
      <c r="F65" s="175" t="s">
        <v>586</v>
      </c>
      <c r="G65" s="203" t="s">
        <v>75</v>
      </c>
      <c r="H65" s="127" t="s">
        <v>41</v>
      </c>
      <c r="I65" s="127" t="s">
        <v>41</v>
      </c>
      <c r="J65" s="127" t="s">
        <v>78</v>
      </c>
      <c r="K65" s="198">
        <v>100328962</v>
      </c>
      <c r="L65" s="182"/>
      <c r="M65" s="166"/>
      <c r="N65" s="304">
        <f t="shared" si="1"/>
        <v>100328962</v>
      </c>
      <c r="O65" s="132"/>
      <c r="P65" s="132">
        <v>12427783</v>
      </c>
      <c r="Q65" s="132"/>
      <c r="R65" s="132">
        <f>3000000+546440+546440+1425556+1100000+1650000+1173820+999+12427783+160000000</f>
        <v>181871038</v>
      </c>
      <c r="S65" s="132"/>
      <c r="T65" s="132"/>
      <c r="U65" s="204">
        <f>3000000+65000000</f>
        <v>68000000</v>
      </c>
      <c r="V65" s="132">
        <v>12427783</v>
      </c>
      <c r="W65" s="165"/>
      <c r="X65" s="130">
        <f>+K65+R65-U65</f>
        <v>214200000</v>
      </c>
      <c r="Y65" s="130">
        <f t="shared" si="6"/>
        <v>0</v>
      </c>
      <c r="Z65" s="130"/>
      <c r="AA65" s="303">
        <f t="shared" si="7"/>
        <v>214200000</v>
      </c>
      <c r="AB65" s="135" t="s">
        <v>59</v>
      </c>
      <c r="AC65" s="127" t="s">
        <v>21</v>
      </c>
      <c r="AD65" s="143" t="s">
        <v>23</v>
      </c>
      <c r="AE65" s="143" t="s">
        <v>1125</v>
      </c>
      <c r="AF65" s="144" t="s">
        <v>422</v>
      </c>
      <c r="AG65" s="144" t="s">
        <v>422</v>
      </c>
      <c r="AH65" s="137">
        <v>1</v>
      </c>
      <c r="AI65" s="137" t="s">
        <v>503</v>
      </c>
      <c r="AJ65" s="143" t="s">
        <v>22</v>
      </c>
      <c r="AK65" s="127">
        <f>Ejecución!V65</f>
        <v>214199350</v>
      </c>
      <c r="AL65" s="127">
        <f>Ejecución!W65</f>
        <v>650</v>
      </c>
      <c r="AM65" s="127">
        <f>Ejecución!Y65</f>
        <v>0</v>
      </c>
      <c r="AN65" s="127">
        <f>Ejecución!Z65</f>
        <v>0</v>
      </c>
      <c r="AO65" s="127">
        <f>Ejecución!AB65</f>
        <v>0</v>
      </c>
      <c r="AP65" s="127">
        <f>Ejecución!AC65</f>
        <v>0</v>
      </c>
      <c r="AQ65" s="127">
        <f>Ejecución!X65</f>
        <v>54200000</v>
      </c>
      <c r="AR65" s="127">
        <f>Ejecución!AA65</f>
        <v>0</v>
      </c>
      <c r="AS65" s="127">
        <f>Ejecución!AD65</f>
        <v>0</v>
      </c>
      <c r="AT65" s="497" t="s">
        <v>1075</v>
      </c>
    </row>
    <row r="66" spans="1:46" ht="297.75" customHeight="1" x14ac:dyDescent="0.25">
      <c r="A66" s="122" t="s">
        <v>619</v>
      </c>
      <c r="B66" s="541">
        <v>2203018</v>
      </c>
      <c r="C66" s="110" t="s">
        <v>470</v>
      </c>
      <c r="D66" s="124" t="s">
        <v>139</v>
      </c>
      <c r="E66" s="124" t="s">
        <v>130</v>
      </c>
      <c r="F66" s="175" t="s">
        <v>586</v>
      </c>
      <c r="G66" s="203" t="s">
        <v>75</v>
      </c>
      <c r="H66" s="127" t="s">
        <v>41</v>
      </c>
      <c r="I66" s="127" t="s">
        <v>41</v>
      </c>
      <c r="J66" s="127" t="s">
        <v>81</v>
      </c>
      <c r="K66" s="198">
        <v>250000000</v>
      </c>
      <c r="L66" s="166"/>
      <c r="M66" s="166"/>
      <c r="N66" s="304">
        <f t="shared" si="1"/>
        <v>250000000</v>
      </c>
      <c r="O66" s="132"/>
      <c r="P66" s="132">
        <v>12427783</v>
      </c>
      <c r="Q66" s="132"/>
      <c r="R66" s="132"/>
      <c r="S66" s="132"/>
      <c r="T66" s="132"/>
      <c r="U66" s="165">
        <f>26999280+999+12427783+17909500+160000000</f>
        <v>217337562</v>
      </c>
      <c r="V66" s="165"/>
      <c r="W66" s="165"/>
      <c r="X66" s="130">
        <f>+K66+R66-U66</f>
        <v>32662438</v>
      </c>
      <c r="Y66" s="130">
        <f>+L66+P66-V66+S66</f>
        <v>12427783</v>
      </c>
      <c r="Z66" s="130"/>
      <c r="AA66" s="303">
        <f>+Y66+Z66+X66</f>
        <v>45090221</v>
      </c>
      <c r="AB66" s="135" t="s">
        <v>59</v>
      </c>
      <c r="AC66" s="143" t="s">
        <v>24</v>
      </c>
      <c r="AD66" s="143" t="s">
        <v>23</v>
      </c>
      <c r="AE66" s="143">
        <v>14121904</v>
      </c>
      <c r="AF66" s="136" t="s">
        <v>704</v>
      </c>
      <c r="AG66" s="136" t="s">
        <v>704</v>
      </c>
      <c r="AH66" s="136" t="s">
        <v>705</v>
      </c>
      <c r="AI66" s="137" t="s">
        <v>503</v>
      </c>
      <c r="AJ66" s="143" t="s">
        <v>22</v>
      </c>
      <c r="AK66" s="127">
        <f>Ejecución!V66</f>
        <v>32662438</v>
      </c>
      <c r="AL66" s="127">
        <f>Ejecución!W66</f>
        <v>0</v>
      </c>
      <c r="AM66" s="127">
        <f>Ejecución!Y66</f>
        <v>11309662</v>
      </c>
      <c r="AN66" s="127">
        <f>Ejecución!Z66</f>
        <v>1118121</v>
      </c>
      <c r="AO66" s="127">
        <f>Ejecución!AB66</f>
        <v>0</v>
      </c>
      <c r="AP66" s="127">
        <f>Ejecución!AC66</f>
        <v>0</v>
      </c>
      <c r="AQ66" s="127">
        <f>Ejecución!X66</f>
        <v>0</v>
      </c>
      <c r="AR66" s="127">
        <f>Ejecución!AA66</f>
        <v>0</v>
      </c>
      <c r="AS66" s="127">
        <f>Ejecución!AD66</f>
        <v>0</v>
      </c>
      <c r="AT66" s="497" t="s">
        <v>1076</v>
      </c>
    </row>
    <row r="67" spans="1:46" ht="240" x14ac:dyDescent="0.25">
      <c r="A67" s="122" t="s">
        <v>619</v>
      </c>
      <c r="B67" s="541">
        <v>2203018</v>
      </c>
      <c r="C67" s="110" t="s">
        <v>470</v>
      </c>
      <c r="D67" s="124" t="s">
        <v>139</v>
      </c>
      <c r="E67" s="124" t="s">
        <v>130</v>
      </c>
      <c r="F67" s="175" t="s">
        <v>586</v>
      </c>
      <c r="G67" s="203" t="s">
        <v>75</v>
      </c>
      <c r="H67" s="127" t="s">
        <v>41</v>
      </c>
      <c r="I67" s="127" t="s">
        <v>41</v>
      </c>
      <c r="J67" s="127" t="s">
        <v>963</v>
      </c>
      <c r="K67" s="198"/>
      <c r="L67" s="166"/>
      <c r="M67" s="166"/>
      <c r="N67" s="304">
        <f t="shared" ref="N67" si="12">K67+L67+M67</f>
        <v>0</v>
      </c>
      <c r="O67" s="132">
        <v>17909500</v>
      </c>
      <c r="P67" s="132"/>
      <c r="Q67" s="132"/>
      <c r="R67" s="132"/>
      <c r="S67" s="132"/>
      <c r="T67" s="132"/>
      <c r="U67" s="165"/>
      <c r="V67" s="165"/>
      <c r="W67" s="165"/>
      <c r="X67" s="130">
        <f>+O67</f>
        <v>17909500</v>
      </c>
      <c r="Y67" s="130">
        <f t="shared" ref="Y67" si="13">+L67+P67-V67+S67</f>
        <v>0</v>
      </c>
      <c r="Z67" s="130"/>
      <c r="AA67" s="303">
        <f t="shared" ref="AA67" si="14">+Y67+Z67+X67</f>
        <v>17909500</v>
      </c>
      <c r="AB67" s="135" t="s">
        <v>59</v>
      </c>
      <c r="AC67" s="143" t="s">
        <v>24</v>
      </c>
      <c r="AD67" s="143" t="s">
        <v>23</v>
      </c>
      <c r="AE67" s="143">
        <v>14121904</v>
      </c>
      <c r="AF67" s="136" t="s">
        <v>925</v>
      </c>
      <c r="AG67" s="136" t="s">
        <v>925</v>
      </c>
      <c r="AH67" s="136" t="s">
        <v>962</v>
      </c>
      <c r="AI67" s="137" t="s">
        <v>962</v>
      </c>
      <c r="AJ67" s="143" t="s">
        <v>22</v>
      </c>
      <c r="AK67" s="127">
        <f>Ejecución!V67</f>
        <v>17909500</v>
      </c>
      <c r="AL67" s="127">
        <f>Ejecución!W67</f>
        <v>0</v>
      </c>
      <c r="AM67" s="127">
        <f>Ejecución!Y67</f>
        <v>0</v>
      </c>
      <c r="AN67" s="127">
        <f>Ejecución!Z67</f>
        <v>0</v>
      </c>
      <c r="AO67" s="127">
        <f>Ejecución!AB67</f>
        <v>0</v>
      </c>
      <c r="AP67" s="127">
        <f>Ejecución!AC67</f>
        <v>0</v>
      </c>
      <c r="AQ67" s="127">
        <f>Ejecución!X67</f>
        <v>17909500</v>
      </c>
      <c r="AR67" s="127">
        <f>Ejecución!AA67</f>
        <v>0</v>
      </c>
      <c r="AS67" s="127">
        <f>Ejecución!AD67</f>
        <v>0</v>
      </c>
      <c r="AT67" s="497" t="s">
        <v>964</v>
      </c>
    </row>
    <row r="68" spans="1:46" ht="357" x14ac:dyDescent="0.25">
      <c r="A68" s="122" t="s">
        <v>593</v>
      </c>
      <c r="B68" s="541">
        <v>2203018</v>
      </c>
      <c r="C68" s="110" t="s">
        <v>470</v>
      </c>
      <c r="D68" s="124" t="s">
        <v>139</v>
      </c>
      <c r="E68" s="124" t="s">
        <v>130</v>
      </c>
      <c r="F68" s="175" t="s">
        <v>586</v>
      </c>
      <c r="G68" s="203" t="s">
        <v>75</v>
      </c>
      <c r="H68" s="127" t="s">
        <v>41</v>
      </c>
      <c r="I68" s="127" t="s">
        <v>41</v>
      </c>
      <c r="J68" s="127" t="s">
        <v>84</v>
      </c>
      <c r="K68" s="205">
        <v>170000000</v>
      </c>
      <c r="L68" s="166"/>
      <c r="M68" s="166"/>
      <c r="N68" s="304">
        <f t="shared" si="1"/>
        <v>170000000</v>
      </c>
      <c r="O68" s="132"/>
      <c r="P68" s="132"/>
      <c r="Q68" s="132"/>
      <c r="R68" s="132">
        <f>26999280+476180</f>
        <v>27475460</v>
      </c>
      <c r="S68" s="132"/>
      <c r="T68" s="132"/>
      <c r="U68" s="165">
        <f>201210+1951837</f>
        <v>2153047</v>
      </c>
      <c r="V68" s="165"/>
      <c r="W68" s="165"/>
      <c r="X68" s="130">
        <f>+K68+R68-U68</f>
        <v>195322413</v>
      </c>
      <c r="Y68" s="130">
        <f t="shared" si="6"/>
        <v>0</v>
      </c>
      <c r="Z68" s="130"/>
      <c r="AA68" s="303">
        <f t="shared" si="7"/>
        <v>195322413</v>
      </c>
      <c r="AB68" s="135" t="s">
        <v>59</v>
      </c>
      <c r="AC68" s="143" t="s">
        <v>14</v>
      </c>
      <c r="AD68" s="143" t="s">
        <v>23</v>
      </c>
      <c r="AE68" s="143" t="s">
        <v>652</v>
      </c>
      <c r="AF68" s="144" t="s">
        <v>799</v>
      </c>
      <c r="AG68" s="144" t="s">
        <v>833</v>
      </c>
      <c r="AH68" s="137">
        <v>1</v>
      </c>
      <c r="AI68" s="137" t="s">
        <v>834</v>
      </c>
      <c r="AJ68" s="143" t="s">
        <v>20</v>
      </c>
      <c r="AK68" s="127">
        <f>Ejecución!V68</f>
        <v>180638792</v>
      </c>
      <c r="AL68" s="127">
        <f>Ejecución!W68</f>
        <v>14683621</v>
      </c>
      <c r="AM68" s="127">
        <f>Ejecución!Y68</f>
        <v>0</v>
      </c>
      <c r="AN68" s="127">
        <f>Ejecución!Z68</f>
        <v>0</v>
      </c>
      <c r="AO68" s="127">
        <f>Ejecución!AB68</f>
        <v>0</v>
      </c>
      <c r="AP68" s="127">
        <f>Ejecución!AC68</f>
        <v>0</v>
      </c>
      <c r="AQ68" s="127">
        <f>Ejecución!X68</f>
        <v>142789847.76999998</v>
      </c>
      <c r="AR68" s="127">
        <f>Ejecución!AA68</f>
        <v>0</v>
      </c>
      <c r="AS68" s="127">
        <f>Ejecución!AD68</f>
        <v>0</v>
      </c>
      <c r="AT68" s="497" t="s">
        <v>1155</v>
      </c>
    </row>
    <row r="69" spans="1:46" ht="409.5" x14ac:dyDescent="0.25">
      <c r="A69" s="122" t="s">
        <v>587</v>
      </c>
      <c r="B69" s="541">
        <v>2203018</v>
      </c>
      <c r="C69" s="110" t="s">
        <v>470</v>
      </c>
      <c r="D69" s="124" t="s">
        <v>139</v>
      </c>
      <c r="E69" s="124" t="s">
        <v>130</v>
      </c>
      <c r="F69" s="175" t="s">
        <v>586</v>
      </c>
      <c r="G69" s="203" t="s">
        <v>75</v>
      </c>
      <c r="H69" s="127" t="s">
        <v>41</v>
      </c>
      <c r="I69" s="127" t="s">
        <v>41</v>
      </c>
      <c r="J69" s="127" t="s">
        <v>325</v>
      </c>
      <c r="K69" s="198">
        <v>28226440</v>
      </c>
      <c r="L69" s="166"/>
      <c r="M69" s="166"/>
      <c r="N69" s="304">
        <f t="shared" si="1"/>
        <v>28226440</v>
      </c>
      <c r="O69" s="132"/>
      <c r="P69" s="132"/>
      <c r="Q69" s="132"/>
      <c r="R69" s="132"/>
      <c r="S69" s="132"/>
      <c r="T69" s="132"/>
      <c r="U69" s="165">
        <v>546440</v>
      </c>
      <c r="V69" s="165"/>
      <c r="W69" s="165"/>
      <c r="X69" s="130">
        <f>+N69-U69</f>
        <v>27680000</v>
      </c>
      <c r="Y69" s="130">
        <f t="shared" si="6"/>
        <v>0</v>
      </c>
      <c r="Z69" s="130"/>
      <c r="AA69" s="303">
        <f>+Y69+Z69+X69</f>
        <v>27680000</v>
      </c>
      <c r="AB69" s="135" t="s">
        <v>59</v>
      </c>
      <c r="AC69" s="143" t="s">
        <v>14</v>
      </c>
      <c r="AD69" s="143" t="s">
        <v>23</v>
      </c>
      <c r="AE69" s="143">
        <v>82151502</v>
      </c>
      <c r="AF69" s="136" t="s">
        <v>419</v>
      </c>
      <c r="AG69" s="136" t="s">
        <v>419</v>
      </c>
      <c r="AH69" s="137">
        <v>11</v>
      </c>
      <c r="AI69" s="137" t="s">
        <v>503</v>
      </c>
      <c r="AJ69" s="127" t="s">
        <v>16</v>
      </c>
      <c r="AK69" s="127">
        <f>Ejecución!V69</f>
        <v>27680000</v>
      </c>
      <c r="AL69" s="127">
        <f>Ejecución!W69</f>
        <v>0</v>
      </c>
      <c r="AM69" s="127">
        <f>Ejecución!Y69</f>
        <v>0</v>
      </c>
      <c r="AN69" s="127">
        <f>Ejecución!Z69</f>
        <v>0</v>
      </c>
      <c r="AO69" s="127">
        <f>Ejecución!AB69</f>
        <v>0</v>
      </c>
      <c r="AP69" s="127">
        <f>Ejecución!AC69</f>
        <v>0</v>
      </c>
      <c r="AQ69" s="127">
        <f>Ejecución!X69</f>
        <v>27680000</v>
      </c>
      <c r="AR69" s="127">
        <f>Ejecución!AA69</f>
        <v>0</v>
      </c>
      <c r="AS69" s="127">
        <f>Ejecución!AD69</f>
        <v>0</v>
      </c>
      <c r="AT69" s="497" t="s">
        <v>845</v>
      </c>
    </row>
    <row r="70" spans="1:46" ht="409.5" x14ac:dyDescent="0.25">
      <c r="A70" s="122" t="s">
        <v>587</v>
      </c>
      <c r="B70" s="541">
        <v>2203018</v>
      </c>
      <c r="C70" s="110" t="s">
        <v>470</v>
      </c>
      <c r="D70" s="124" t="s">
        <v>139</v>
      </c>
      <c r="E70" s="124" t="s">
        <v>130</v>
      </c>
      <c r="F70" s="175" t="s">
        <v>586</v>
      </c>
      <c r="G70" s="203" t="s">
        <v>75</v>
      </c>
      <c r="H70" s="127" t="s">
        <v>41</v>
      </c>
      <c r="I70" s="127" t="s">
        <v>41</v>
      </c>
      <c r="J70" s="127" t="s">
        <v>324</v>
      </c>
      <c r="K70" s="187">
        <v>28226440</v>
      </c>
      <c r="L70" s="129"/>
      <c r="M70" s="129"/>
      <c r="N70" s="304">
        <f t="shared" si="1"/>
        <v>28226440</v>
      </c>
      <c r="O70" s="132"/>
      <c r="P70" s="132"/>
      <c r="Q70" s="132"/>
      <c r="R70" s="132"/>
      <c r="S70" s="132"/>
      <c r="T70" s="132"/>
      <c r="U70" s="165">
        <v>546440</v>
      </c>
      <c r="V70" s="165"/>
      <c r="W70" s="165"/>
      <c r="X70" s="130">
        <f>+N70-U70</f>
        <v>27680000</v>
      </c>
      <c r="Y70" s="130">
        <f t="shared" si="6"/>
        <v>0</v>
      </c>
      <c r="Z70" s="130"/>
      <c r="AA70" s="303">
        <f t="shared" si="7"/>
        <v>27680000</v>
      </c>
      <c r="AB70" s="135" t="s">
        <v>59</v>
      </c>
      <c r="AC70" s="143" t="s">
        <v>14</v>
      </c>
      <c r="AD70" s="143" t="s">
        <v>23</v>
      </c>
      <c r="AE70" s="143">
        <v>82151502</v>
      </c>
      <c r="AF70" s="136" t="s">
        <v>419</v>
      </c>
      <c r="AG70" s="136" t="s">
        <v>419</v>
      </c>
      <c r="AH70" s="137">
        <v>11</v>
      </c>
      <c r="AI70" s="137" t="s">
        <v>503</v>
      </c>
      <c r="AJ70" s="127" t="s">
        <v>16</v>
      </c>
      <c r="AK70" s="127">
        <f>Ejecución!V70</f>
        <v>27680000</v>
      </c>
      <c r="AL70" s="127">
        <f>Ejecución!W70</f>
        <v>0</v>
      </c>
      <c r="AM70" s="127">
        <f>Ejecución!Y70</f>
        <v>0</v>
      </c>
      <c r="AN70" s="127">
        <f>Ejecución!Z70</f>
        <v>0</v>
      </c>
      <c r="AO70" s="127">
        <f>Ejecución!AB70</f>
        <v>0</v>
      </c>
      <c r="AP70" s="127">
        <f>Ejecución!AC70</f>
        <v>0</v>
      </c>
      <c r="AQ70" s="127">
        <f>Ejecución!X70</f>
        <v>27680000</v>
      </c>
      <c r="AR70" s="127">
        <f>Ejecución!AA70</f>
        <v>0</v>
      </c>
      <c r="AS70" s="127">
        <f>Ejecución!AD70</f>
        <v>0</v>
      </c>
      <c r="AT70" s="497" t="s">
        <v>845</v>
      </c>
    </row>
    <row r="71" spans="1:46" ht="240" x14ac:dyDescent="0.25">
      <c r="A71" s="122" t="s">
        <v>587</v>
      </c>
      <c r="B71" s="541">
        <v>2203018</v>
      </c>
      <c r="C71" s="110" t="s">
        <v>470</v>
      </c>
      <c r="D71" s="124" t="s">
        <v>139</v>
      </c>
      <c r="E71" s="124" t="s">
        <v>130</v>
      </c>
      <c r="F71" s="175" t="s">
        <v>586</v>
      </c>
      <c r="G71" s="203" t="s">
        <v>75</v>
      </c>
      <c r="H71" s="127" t="s">
        <v>41</v>
      </c>
      <c r="I71" s="127" t="s">
        <v>41</v>
      </c>
      <c r="J71" s="127" t="s">
        <v>85</v>
      </c>
      <c r="K71" s="198">
        <f>1688859*10</f>
        <v>16888590</v>
      </c>
      <c r="L71" s="166"/>
      <c r="M71" s="166"/>
      <c r="N71" s="304">
        <f t="shared" si="1"/>
        <v>16888590</v>
      </c>
      <c r="O71" s="132"/>
      <c r="P71" s="132"/>
      <c r="Q71" s="132"/>
      <c r="R71" s="132">
        <v>918210</v>
      </c>
      <c r="S71" s="132"/>
      <c r="T71" s="132"/>
      <c r="U71" s="165">
        <v>4800000</v>
      </c>
      <c r="V71" s="165"/>
      <c r="W71" s="165"/>
      <c r="X71" s="130">
        <f>+K71+O71+R71-U71</f>
        <v>13006800</v>
      </c>
      <c r="Y71" s="130">
        <f t="shared" si="6"/>
        <v>0</v>
      </c>
      <c r="Z71" s="130"/>
      <c r="AA71" s="303">
        <f t="shared" si="7"/>
        <v>13006800</v>
      </c>
      <c r="AB71" s="135" t="s">
        <v>59</v>
      </c>
      <c r="AC71" s="143" t="s">
        <v>14</v>
      </c>
      <c r="AD71" s="143" t="s">
        <v>23</v>
      </c>
      <c r="AE71" s="143" t="s">
        <v>930</v>
      </c>
      <c r="AF71" s="144" t="s">
        <v>423</v>
      </c>
      <c r="AG71" s="144" t="s">
        <v>423</v>
      </c>
      <c r="AH71" s="137">
        <v>1</v>
      </c>
      <c r="AI71" s="137" t="s">
        <v>503</v>
      </c>
      <c r="AJ71" s="127" t="s">
        <v>16</v>
      </c>
      <c r="AK71" s="127">
        <f>Ejecución!V71</f>
        <v>13006800</v>
      </c>
      <c r="AL71" s="127">
        <f>Ejecución!W71</f>
        <v>0</v>
      </c>
      <c r="AM71" s="127">
        <f>Ejecución!Y71</f>
        <v>0</v>
      </c>
      <c r="AN71" s="127">
        <f>Ejecución!Z71</f>
        <v>0</v>
      </c>
      <c r="AO71" s="127">
        <f>Ejecución!AB71</f>
        <v>0</v>
      </c>
      <c r="AP71" s="127">
        <f>Ejecución!AC71</f>
        <v>0</v>
      </c>
      <c r="AQ71" s="127">
        <f>Ejecución!X71</f>
        <v>13006800</v>
      </c>
      <c r="AR71" s="127">
        <f>Ejecución!AA71</f>
        <v>0</v>
      </c>
      <c r="AS71" s="127">
        <f>Ejecución!AD71</f>
        <v>0</v>
      </c>
      <c r="AT71" s="497" t="s">
        <v>931</v>
      </c>
    </row>
    <row r="72" spans="1:46" ht="409.5" x14ac:dyDescent="0.25">
      <c r="A72" s="151" t="s">
        <v>587</v>
      </c>
      <c r="B72" s="541">
        <v>2203018</v>
      </c>
      <c r="C72" s="110" t="s">
        <v>470</v>
      </c>
      <c r="D72" s="124" t="s">
        <v>139</v>
      </c>
      <c r="E72" s="124" t="s">
        <v>130</v>
      </c>
      <c r="F72" s="175" t="s">
        <v>586</v>
      </c>
      <c r="G72" s="203" t="s">
        <v>75</v>
      </c>
      <c r="H72" s="127" t="s">
        <v>41</v>
      </c>
      <c r="I72" s="127" t="s">
        <v>41</v>
      </c>
      <c r="J72" s="180" t="s">
        <v>383</v>
      </c>
      <c r="K72" s="166">
        <v>7005306</v>
      </c>
      <c r="L72" s="187">
        <f>2500000*10</f>
        <v>25000000</v>
      </c>
      <c r="M72" s="166"/>
      <c r="N72" s="304">
        <f t="shared" si="1"/>
        <v>32005306</v>
      </c>
      <c r="O72" s="132"/>
      <c r="P72" s="132"/>
      <c r="Q72" s="132"/>
      <c r="R72" s="132"/>
      <c r="S72" s="132"/>
      <c r="T72" s="132"/>
      <c r="U72" s="165">
        <f>3684616+918210+2402480</f>
        <v>7005306</v>
      </c>
      <c r="V72" s="130">
        <f>12427783+4167520+6200000+515528+1689169</f>
        <v>25000000</v>
      </c>
      <c r="W72" s="110"/>
      <c r="X72" s="166">
        <f>+K72-U72</f>
        <v>0</v>
      </c>
      <c r="Y72" s="130">
        <f t="shared" si="6"/>
        <v>0</v>
      </c>
      <c r="Z72" s="130"/>
      <c r="AA72" s="303">
        <f t="shared" si="7"/>
        <v>0</v>
      </c>
      <c r="AB72" s="135" t="s">
        <v>59</v>
      </c>
      <c r="AC72" s="143" t="s">
        <v>79</v>
      </c>
      <c r="AD72" s="143" t="s">
        <v>23</v>
      </c>
      <c r="AE72" s="143">
        <v>80101505</v>
      </c>
      <c r="AF72" s="136" t="s">
        <v>706</v>
      </c>
      <c r="AG72" s="136" t="s">
        <v>706</v>
      </c>
      <c r="AH72" s="136" t="s">
        <v>707</v>
      </c>
      <c r="AI72" s="137" t="s">
        <v>503</v>
      </c>
      <c r="AJ72" s="143" t="s">
        <v>16</v>
      </c>
      <c r="AK72" s="127">
        <f>Ejecución!V72</f>
        <v>0</v>
      </c>
      <c r="AL72" s="127">
        <f>Ejecución!W72</f>
        <v>0</v>
      </c>
      <c r="AM72" s="127">
        <f>Ejecución!Y72</f>
        <v>0</v>
      </c>
      <c r="AN72" s="127">
        <f>Ejecución!Z72</f>
        <v>0</v>
      </c>
      <c r="AO72" s="127">
        <f>Ejecución!AB72</f>
        <v>0</v>
      </c>
      <c r="AP72" s="127">
        <f>Ejecución!AC72</f>
        <v>0</v>
      </c>
      <c r="AQ72" s="127">
        <f>Ejecución!X72</f>
        <v>0</v>
      </c>
      <c r="AR72" s="127">
        <f>Ejecución!AA72</f>
        <v>0</v>
      </c>
      <c r="AS72" s="127">
        <f>Ejecución!AD72</f>
        <v>0</v>
      </c>
      <c r="AT72" s="497" t="s">
        <v>1083</v>
      </c>
    </row>
    <row r="73" spans="1:46" ht="409.5" x14ac:dyDescent="0.25">
      <c r="A73" s="151"/>
      <c r="B73" s="541">
        <v>2203018</v>
      </c>
      <c r="C73" s="110" t="s">
        <v>470</v>
      </c>
      <c r="D73" s="124" t="s">
        <v>139</v>
      </c>
      <c r="E73" s="124" t="s">
        <v>130</v>
      </c>
      <c r="F73" s="175" t="s">
        <v>586</v>
      </c>
      <c r="G73" s="203" t="s">
        <v>75</v>
      </c>
      <c r="H73" s="127" t="s">
        <v>41</v>
      </c>
      <c r="I73" s="127" t="s">
        <v>41</v>
      </c>
      <c r="J73" s="180" t="s">
        <v>961</v>
      </c>
      <c r="K73" s="166"/>
      <c r="L73" s="187"/>
      <c r="M73" s="166"/>
      <c r="N73" s="304"/>
      <c r="O73" s="132">
        <v>3684616</v>
      </c>
      <c r="P73" s="132"/>
      <c r="Q73" s="132"/>
      <c r="R73" s="132"/>
      <c r="S73" s="132"/>
      <c r="T73" s="132"/>
      <c r="U73" s="165">
        <v>17516</v>
      </c>
      <c r="V73" s="130"/>
      <c r="W73" s="110"/>
      <c r="X73" s="166">
        <f>+K73+O73+R73-U73</f>
        <v>3667100</v>
      </c>
      <c r="Y73" s="130">
        <f t="shared" si="6"/>
        <v>0</v>
      </c>
      <c r="Z73" s="130"/>
      <c r="AA73" s="303">
        <f t="shared" ref="AA73" si="15">+Y73+Z73+X73</f>
        <v>3667100</v>
      </c>
      <c r="AB73" s="135"/>
      <c r="AC73" s="143" t="s">
        <v>21</v>
      </c>
      <c r="AD73" s="143" t="s">
        <v>23</v>
      </c>
      <c r="AE73" s="143" t="s">
        <v>929</v>
      </c>
      <c r="AF73" s="144" t="s">
        <v>423</v>
      </c>
      <c r="AG73" s="144" t="s">
        <v>423</v>
      </c>
      <c r="AH73" s="137">
        <v>1</v>
      </c>
      <c r="AI73" s="137" t="s">
        <v>503</v>
      </c>
      <c r="AJ73" s="143" t="s">
        <v>685</v>
      </c>
      <c r="AK73" s="127">
        <f>Ejecución!V73</f>
        <v>3667100</v>
      </c>
      <c r="AL73" s="127">
        <f>Ejecución!W73</f>
        <v>0</v>
      </c>
      <c r="AM73" s="127">
        <f>Ejecución!Y73</f>
        <v>0</v>
      </c>
      <c r="AN73" s="127">
        <f>Ejecución!Z73</f>
        <v>0</v>
      </c>
      <c r="AO73" s="127">
        <f>Ejecución!AB73</f>
        <v>0</v>
      </c>
      <c r="AP73" s="127">
        <f>Ejecución!AC73</f>
        <v>0</v>
      </c>
      <c r="AQ73" s="127">
        <f>Ejecución!X73</f>
        <v>3667100</v>
      </c>
      <c r="AR73" s="127">
        <f>Ejecución!AA73</f>
        <v>0</v>
      </c>
      <c r="AS73" s="127">
        <f>Ejecución!AD73</f>
        <v>0</v>
      </c>
      <c r="AT73" s="497" t="s">
        <v>1135</v>
      </c>
    </row>
    <row r="74" spans="1:46" ht="409.5" x14ac:dyDescent="0.25">
      <c r="A74" s="151"/>
      <c r="B74" s="541">
        <v>2203018</v>
      </c>
      <c r="C74" s="110" t="s">
        <v>470</v>
      </c>
      <c r="D74" s="124" t="s">
        <v>139</v>
      </c>
      <c r="E74" s="124" t="s">
        <v>130</v>
      </c>
      <c r="F74" s="175" t="s">
        <v>586</v>
      </c>
      <c r="G74" s="203" t="s">
        <v>75</v>
      </c>
      <c r="H74" s="127" t="s">
        <v>41</v>
      </c>
      <c r="I74" s="127" t="s">
        <v>41</v>
      </c>
      <c r="J74" s="180" t="s">
        <v>932</v>
      </c>
      <c r="K74" s="166"/>
      <c r="L74" s="187"/>
      <c r="M74" s="166"/>
      <c r="N74" s="304"/>
      <c r="O74" s="132">
        <v>2402480</v>
      </c>
      <c r="P74" s="132">
        <v>4167520</v>
      </c>
      <c r="Q74" s="132"/>
      <c r="R74" s="132"/>
      <c r="S74" s="132"/>
      <c r="T74" s="132"/>
      <c r="U74" s="165"/>
      <c r="V74" s="130">
        <v>2370000</v>
      </c>
      <c r="W74" s="110"/>
      <c r="X74" s="166">
        <f>+K74+O74+R74-U74</f>
        <v>2402480</v>
      </c>
      <c r="Y74" s="130">
        <f t="shared" si="6"/>
        <v>1797520</v>
      </c>
      <c r="Z74" s="130"/>
      <c r="AA74" s="303">
        <f t="shared" ref="AA74" si="16">+Y74+Z74+X74</f>
        <v>4200000</v>
      </c>
      <c r="AB74" s="135"/>
      <c r="AC74" s="143" t="s">
        <v>14</v>
      </c>
      <c r="AD74" s="143" t="s">
        <v>23</v>
      </c>
      <c r="AE74" s="143" t="s">
        <v>933</v>
      </c>
      <c r="AF74" s="144" t="s">
        <v>423</v>
      </c>
      <c r="AG74" s="144" t="s">
        <v>423</v>
      </c>
      <c r="AH74" s="137">
        <v>1</v>
      </c>
      <c r="AI74" s="137" t="s">
        <v>503</v>
      </c>
      <c r="AJ74" s="143" t="s">
        <v>16</v>
      </c>
      <c r="AK74" s="127">
        <f>Ejecución!V74</f>
        <v>2402480</v>
      </c>
      <c r="AL74" s="127">
        <f>Ejecución!W74</f>
        <v>0</v>
      </c>
      <c r="AM74" s="127">
        <f>Ejecución!Y74</f>
        <v>1797520</v>
      </c>
      <c r="AN74" s="127">
        <f>Ejecución!Z74</f>
        <v>0</v>
      </c>
      <c r="AO74" s="127">
        <f>Ejecución!AB74</f>
        <v>0</v>
      </c>
      <c r="AP74" s="127">
        <f>Ejecución!AC74</f>
        <v>0</v>
      </c>
      <c r="AQ74" s="127">
        <f>Ejecución!X74</f>
        <v>2402480</v>
      </c>
      <c r="AR74" s="127">
        <f>Ejecución!AA74</f>
        <v>1797520</v>
      </c>
      <c r="AS74" s="127">
        <f>Ejecución!AD74</f>
        <v>0</v>
      </c>
      <c r="AT74" s="497" t="s">
        <v>1082</v>
      </c>
    </row>
    <row r="75" spans="1:46" ht="409.5" x14ac:dyDescent="0.25">
      <c r="A75" s="151"/>
      <c r="B75" s="541">
        <v>2203018</v>
      </c>
      <c r="C75" s="110" t="s">
        <v>470</v>
      </c>
      <c r="D75" s="124" t="s">
        <v>139</v>
      </c>
      <c r="E75" s="124" t="s">
        <v>130</v>
      </c>
      <c r="F75" s="175" t="s">
        <v>586</v>
      </c>
      <c r="G75" s="203" t="s">
        <v>75</v>
      </c>
      <c r="H75" s="127" t="s">
        <v>41</v>
      </c>
      <c r="I75" s="127" t="s">
        <v>41</v>
      </c>
      <c r="J75" s="180" t="s">
        <v>934</v>
      </c>
      <c r="K75" s="166"/>
      <c r="L75" s="187"/>
      <c r="M75" s="166"/>
      <c r="N75" s="304"/>
      <c r="O75" s="132"/>
      <c r="P75" s="132">
        <v>6200000</v>
      </c>
      <c r="Q75" s="132"/>
      <c r="R75" s="132"/>
      <c r="S75" s="132"/>
      <c r="T75" s="132"/>
      <c r="U75" s="165"/>
      <c r="V75" s="130">
        <v>1550000</v>
      </c>
      <c r="W75" s="110"/>
      <c r="X75" s="166">
        <f>+K75+O75+R75-U75</f>
        <v>0</v>
      </c>
      <c r="Y75" s="130">
        <f t="shared" si="6"/>
        <v>4650000</v>
      </c>
      <c r="Z75" s="130"/>
      <c r="AA75" s="303">
        <f t="shared" ref="AA75" si="17">+Y75+Z75+X75</f>
        <v>4650000</v>
      </c>
      <c r="AB75" s="135"/>
      <c r="AC75" s="143" t="s">
        <v>14</v>
      </c>
      <c r="AD75" s="143" t="s">
        <v>23</v>
      </c>
      <c r="AE75" s="143" t="s">
        <v>930</v>
      </c>
      <c r="AF75" s="144" t="s">
        <v>423</v>
      </c>
      <c r="AG75" s="144" t="s">
        <v>423</v>
      </c>
      <c r="AH75" s="137">
        <v>1</v>
      </c>
      <c r="AI75" s="137" t="s">
        <v>503</v>
      </c>
      <c r="AJ75" s="143" t="s">
        <v>16</v>
      </c>
      <c r="AK75" s="127">
        <f>Ejecución!V75</f>
        <v>0</v>
      </c>
      <c r="AL75" s="127">
        <f>Ejecución!W75</f>
        <v>0</v>
      </c>
      <c r="AM75" s="127">
        <f>Ejecución!Y75</f>
        <v>4650000</v>
      </c>
      <c r="AN75" s="127">
        <f>Ejecución!Z75</f>
        <v>0</v>
      </c>
      <c r="AO75" s="127">
        <f>Ejecución!AB75</f>
        <v>0</v>
      </c>
      <c r="AP75" s="127">
        <f>Ejecución!AC75</f>
        <v>0</v>
      </c>
      <c r="AQ75" s="127">
        <f>Ejecución!X75</f>
        <v>0</v>
      </c>
      <c r="AR75" s="127">
        <f>Ejecución!AA75</f>
        <v>4650000</v>
      </c>
      <c r="AS75" s="127">
        <f>Ejecución!AD75</f>
        <v>0</v>
      </c>
      <c r="AT75" s="497" t="s">
        <v>1081</v>
      </c>
    </row>
    <row r="76" spans="1:46" ht="240" x14ac:dyDescent="0.25">
      <c r="A76" s="151"/>
      <c r="B76" s="541">
        <v>2203018</v>
      </c>
      <c r="C76" s="110" t="s">
        <v>470</v>
      </c>
      <c r="D76" s="124" t="s">
        <v>139</v>
      </c>
      <c r="E76" s="124" t="s">
        <v>130</v>
      </c>
      <c r="F76" s="175" t="s">
        <v>586</v>
      </c>
      <c r="G76" s="203" t="s">
        <v>75</v>
      </c>
      <c r="H76" s="127" t="s">
        <v>41</v>
      </c>
      <c r="I76" s="127" t="s">
        <v>41</v>
      </c>
      <c r="J76" s="180" t="s">
        <v>754</v>
      </c>
      <c r="K76" s="166"/>
      <c r="L76" s="187"/>
      <c r="M76" s="166"/>
      <c r="N76" s="304"/>
      <c r="O76" s="132"/>
      <c r="P76" s="132">
        <v>12427783</v>
      </c>
      <c r="Q76" s="132"/>
      <c r="R76" s="132"/>
      <c r="S76" s="132"/>
      <c r="T76" s="132"/>
      <c r="U76" s="110"/>
      <c r="V76" s="110">
        <v>12427783</v>
      </c>
      <c r="W76" s="110"/>
      <c r="X76" s="166"/>
      <c r="Y76" s="130">
        <f t="shared" si="6"/>
        <v>0</v>
      </c>
      <c r="Z76" s="130"/>
      <c r="AA76" s="303">
        <f t="shared" si="7"/>
        <v>0</v>
      </c>
      <c r="AB76" s="135" t="s">
        <v>59</v>
      </c>
      <c r="AC76" s="143" t="s">
        <v>14</v>
      </c>
      <c r="AD76" s="143" t="s">
        <v>23</v>
      </c>
      <c r="AE76" s="143">
        <v>80101505</v>
      </c>
      <c r="AF76" s="136" t="s">
        <v>424</v>
      </c>
      <c r="AG76" s="136" t="s">
        <v>424</v>
      </c>
      <c r="AH76" s="136">
        <v>7</v>
      </c>
      <c r="AI76" s="137" t="s">
        <v>503</v>
      </c>
      <c r="AJ76" s="143" t="s">
        <v>16</v>
      </c>
      <c r="AK76" s="127">
        <f>Ejecución!V76</f>
        <v>0</v>
      </c>
      <c r="AL76" s="127">
        <f>Ejecución!W76</f>
        <v>0</v>
      </c>
      <c r="AM76" s="127">
        <f>Ejecución!Y76</f>
        <v>0</v>
      </c>
      <c r="AN76" s="127">
        <f>Ejecución!Z76</f>
        <v>0</v>
      </c>
      <c r="AO76" s="127">
        <f>Ejecución!AB76</f>
        <v>0</v>
      </c>
      <c r="AP76" s="127">
        <f>Ejecución!AC76</f>
        <v>0</v>
      </c>
      <c r="AQ76" s="127">
        <f>Ejecución!X76</f>
        <v>0</v>
      </c>
      <c r="AR76" s="127">
        <f>Ejecución!AA76</f>
        <v>0</v>
      </c>
      <c r="AS76" s="127">
        <f>Ejecución!AD76</f>
        <v>0</v>
      </c>
      <c r="AT76" s="513" t="s">
        <v>846</v>
      </c>
    </row>
    <row r="77" spans="1:46" ht="409.5" x14ac:dyDescent="0.25">
      <c r="A77" s="122" t="s">
        <v>587</v>
      </c>
      <c r="B77" s="541">
        <v>2203018</v>
      </c>
      <c r="C77" s="110" t="s">
        <v>470</v>
      </c>
      <c r="D77" s="124" t="s">
        <v>139</v>
      </c>
      <c r="E77" s="124" t="s">
        <v>130</v>
      </c>
      <c r="F77" s="175" t="s">
        <v>586</v>
      </c>
      <c r="G77" s="203" t="s">
        <v>75</v>
      </c>
      <c r="H77" s="127" t="s">
        <v>41</v>
      </c>
      <c r="I77" s="127" t="s">
        <v>41</v>
      </c>
      <c r="J77" s="180" t="s">
        <v>323</v>
      </c>
      <c r="K77" s="181">
        <f>3419346*11</f>
        <v>37612806</v>
      </c>
      <c r="L77" s="166"/>
      <c r="M77" s="166"/>
      <c r="N77" s="304">
        <f t="shared" si="1"/>
        <v>37612806</v>
      </c>
      <c r="O77" s="132"/>
      <c r="P77" s="132">
        <v>1535217</v>
      </c>
      <c r="Q77" s="132"/>
      <c r="R77" s="132"/>
      <c r="S77" s="132"/>
      <c r="T77" s="132"/>
      <c r="U77" s="206">
        <v>1425556</v>
      </c>
      <c r="V77" s="165"/>
      <c r="W77" s="165"/>
      <c r="X77" s="130">
        <f>+N77-U77</f>
        <v>36187250</v>
      </c>
      <c r="Y77" s="130">
        <f t="shared" si="6"/>
        <v>1535217</v>
      </c>
      <c r="Z77" s="130"/>
      <c r="AA77" s="303">
        <f t="shared" si="7"/>
        <v>37722467</v>
      </c>
      <c r="AB77" s="135" t="s">
        <v>59</v>
      </c>
      <c r="AC77" s="143" t="s">
        <v>14</v>
      </c>
      <c r="AD77" s="143" t="s">
        <v>23</v>
      </c>
      <c r="AE77" s="143">
        <v>82141504</v>
      </c>
      <c r="AF77" s="136" t="s">
        <v>706</v>
      </c>
      <c r="AG77" s="136" t="s">
        <v>706</v>
      </c>
      <c r="AH77" s="136" t="s">
        <v>707</v>
      </c>
      <c r="AI77" s="137" t="s">
        <v>503</v>
      </c>
      <c r="AJ77" s="127" t="s">
        <v>16</v>
      </c>
      <c r="AK77" s="127">
        <f>Ejecución!V77</f>
        <v>36187250</v>
      </c>
      <c r="AL77" s="127">
        <f>Ejecución!W77</f>
        <v>0</v>
      </c>
      <c r="AM77" s="127">
        <f>Ejecución!Y77</f>
        <v>1535217</v>
      </c>
      <c r="AN77" s="127">
        <f>Ejecución!Z77</f>
        <v>0</v>
      </c>
      <c r="AO77" s="127">
        <f>Ejecución!AB77</f>
        <v>0</v>
      </c>
      <c r="AP77" s="127">
        <f>Ejecución!AC77</f>
        <v>0</v>
      </c>
      <c r="AQ77" s="127">
        <f>Ejecución!X77</f>
        <v>36187250</v>
      </c>
      <c r="AR77" s="127">
        <f>Ejecución!AA77</f>
        <v>0</v>
      </c>
      <c r="AS77" s="127">
        <f>Ejecución!AD77</f>
        <v>0</v>
      </c>
      <c r="AT77" s="497" t="s">
        <v>1152</v>
      </c>
    </row>
    <row r="78" spans="1:46" ht="409.5" x14ac:dyDescent="0.25">
      <c r="A78" s="122"/>
      <c r="B78" s="541">
        <v>2203018</v>
      </c>
      <c r="C78" s="110" t="s">
        <v>470</v>
      </c>
      <c r="D78" s="124" t="s">
        <v>139</v>
      </c>
      <c r="E78" s="124" t="s">
        <v>130</v>
      </c>
      <c r="F78" s="175" t="s">
        <v>586</v>
      </c>
      <c r="G78" s="203" t="s">
        <v>75</v>
      </c>
      <c r="H78" s="127" t="s">
        <v>41</v>
      </c>
      <c r="I78" s="127" t="s">
        <v>41</v>
      </c>
      <c r="J78" s="180" t="s">
        <v>753</v>
      </c>
      <c r="K78" s="181"/>
      <c r="L78" s="166"/>
      <c r="M78" s="166"/>
      <c r="N78" s="304">
        <f t="shared" ref="N78" si="18">K78+L78+M78</f>
        <v>0</v>
      </c>
      <c r="O78" s="132">
        <v>3000000</v>
      </c>
      <c r="P78" s="132"/>
      <c r="Q78" s="132"/>
      <c r="R78" s="132"/>
      <c r="S78" s="132"/>
      <c r="T78" s="132"/>
      <c r="U78" s="206">
        <v>3000000</v>
      </c>
      <c r="V78" s="165"/>
      <c r="W78" s="165"/>
      <c r="X78" s="130">
        <f>+O78-U78</f>
        <v>0</v>
      </c>
      <c r="Y78" s="130">
        <f t="shared" si="6"/>
        <v>0</v>
      </c>
      <c r="Z78" s="130"/>
      <c r="AA78" s="303">
        <f>+O78-U78</f>
        <v>0</v>
      </c>
      <c r="AB78" s="135" t="s">
        <v>59</v>
      </c>
      <c r="AC78" s="143" t="s">
        <v>14</v>
      </c>
      <c r="AD78" s="143" t="s">
        <v>23</v>
      </c>
      <c r="AE78" s="143" t="s">
        <v>650</v>
      </c>
      <c r="AF78" s="136" t="s">
        <v>424</v>
      </c>
      <c r="AG78" s="136" t="s">
        <v>424</v>
      </c>
      <c r="AH78" s="136">
        <v>7</v>
      </c>
      <c r="AI78" s="137" t="s">
        <v>503</v>
      </c>
      <c r="AJ78" s="127" t="s">
        <v>16</v>
      </c>
      <c r="AK78" s="127">
        <f>Ejecución!V78</f>
        <v>0</v>
      </c>
      <c r="AL78" s="127">
        <f>Ejecución!W78</f>
        <v>0</v>
      </c>
      <c r="AM78" s="127">
        <f>Ejecución!Y78</f>
        <v>0</v>
      </c>
      <c r="AN78" s="127">
        <f>Ejecución!Z78</f>
        <v>0</v>
      </c>
      <c r="AO78" s="127">
        <f>Ejecución!AB78</f>
        <v>0</v>
      </c>
      <c r="AP78" s="127">
        <f>Ejecución!AC78</f>
        <v>0</v>
      </c>
      <c r="AQ78" s="127">
        <f>Ejecución!X78</f>
        <v>0</v>
      </c>
      <c r="AR78" s="127">
        <f>Ejecución!AA78</f>
        <v>0</v>
      </c>
      <c r="AS78" s="127">
        <f>Ejecución!AD78</f>
        <v>0</v>
      </c>
      <c r="AT78" s="497" t="s">
        <v>844</v>
      </c>
    </row>
    <row r="79" spans="1:46" ht="240" x14ac:dyDescent="0.25">
      <c r="A79" s="122" t="s">
        <v>594</v>
      </c>
      <c r="B79" s="541">
        <v>2203018</v>
      </c>
      <c r="C79" s="110" t="s">
        <v>470</v>
      </c>
      <c r="D79" s="124" t="s">
        <v>139</v>
      </c>
      <c r="E79" s="124" t="s">
        <v>130</v>
      </c>
      <c r="F79" s="175" t="s">
        <v>586</v>
      </c>
      <c r="G79" s="203" t="s">
        <v>75</v>
      </c>
      <c r="H79" s="127" t="s">
        <v>41</v>
      </c>
      <c r="I79" s="127" t="s">
        <v>41</v>
      </c>
      <c r="J79" s="127" t="s">
        <v>77</v>
      </c>
      <c r="K79" s="181">
        <v>2500000</v>
      </c>
      <c r="L79" s="166"/>
      <c r="M79" s="166"/>
      <c r="N79" s="304">
        <f t="shared" si="1"/>
        <v>2500000</v>
      </c>
      <c r="O79" s="132"/>
      <c r="P79" s="132"/>
      <c r="Q79" s="132"/>
      <c r="R79" s="132"/>
      <c r="S79" s="132"/>
      <c r="T79" s="132"/>
      <c r="U79" s="165">
        <v>1000</v>
      </c>
      <c r="V79" s="165"/>
      <c r="W79" s="165"/>
      <c r="X79" s="130">
        <f>+N79-U79</f>
        <v>2499000</v>
      </c>
      <c r="Y79" s="130">
        <f t="shared" si="6"/>
        <v>0</v>
      </c>
      <c r="Z79" s="130"/>
      <c r="AA79" s="303">
        <f t="shared" si="7"/>
        <v>2499000</v>
      </c>
      <c r="AB79" s="135" t="s">
        <v>59</v>
      </c>
      <c r="AC79" s="143" t="s">
        <v>24</v>
      </c>
      <c r="AD79" s="143" t="s">
        <v>23</v>
      </c>
      <c r="AE79" s="143">
        <v>82121603</v>
      </c>
      <c r="AF79" s="144" t="s">
        <v>68</v>
      </c>
      <c r="AG79" s="144" t="s">
        <v>68</v>
      </c>
      <c r="AH79" s="136">
        <v>4</v>
      </c>
      <c r="AI79" s="137" t="s">
        <v>503</v>
      </c>
      <c r="AJ79" s="143" t="s">
        <v>418</v>
      </c>
      <c r="AK79" s="127">
        <f>Ejecución!V79</f>
        <v>2499000</v>
      </c>
      <c r="AL79" s="127">
        <f>Ejecución!W79</f>
        <v>0</v>
      </c>
      <c r="AM79" s="127">
        <f>Ejecución!Y79</f>
        <v>0</v>
      </c>
      <c r="AN79" s="127">
        <f>Ejecución!Z79</f>
        <v>0</v>
      </c>
      <c r="AO79" s="127">
        <f>Ejecución!AB79</f>
        <v>0</v>
      </c>
      <c r="AP79" s="127">
        <f>Ejecución!AC79</f>
        <v>0</v>
      </c>
      <c r="AQ79" s="127">
        <f>Ejecución!X79</f>
        <v>0</v>
      </c>
      <c r="AR79" s="127">
        <f>Ejecución!AA79</f>
        <v>0</v>
      </c>
      <c r="AS79" s="127">
        <f>Ejecución!AD79</f>
        <v>0</v>
      </c>
      <c r="AT79" s="498"/>
    </row>
    <row r="80" spans="1:46" ht="409.5" x14ac:dyDescent="0.25">
      <c r="A80" s="122"/>
      <c r="B80" s="541">
        <v>2203018</v>
      </c>
      <c r="C80" s="110" t="s">
        <v>470</v>
      </c>
      <c r="D80" s="124" t="s">
        <v>139</v>
      </c>
      <c r="E80" s="124" t="s">
        <v>130</v>
      </c>
      <c r="F80" s="175" t="s">
        <v>586</v>
      </c>
      <c r="G80" s="203" t="s">
        <v>75</v>
      </c>
      <c r="H80" s="127" t="s">
        <v>41</v>
      </c>
      <c r="I80" s="127" t="s">
        <v>41</v>
      </c>
      <c r="J80" s="127" t="s">
        <v>1077</v>
      </c>
      <c r="K80" s="181"/>
      <c r="L80" s="166"/>
      <c r="M80" s="166"/>
      <c r="N80" s="304">
        <f t="shared" ref="N80" si="19">K80+L80+M80</f>
        <v>0</v>
      </c>
      <c r="O80" s="132">
        <v>4802717</v>
      </c>
      <c r="P80" s="132">
        <v>7609169</v>
      </c>
      <c r="Q80" s="132"/>
      <c r="R80" s="132"/>
      <c r="S80" s="132"/>
      <c r="T80" s="132"/>
      <c r="U80" s="165"/>
      <c r="V80" s="165"/>
      <c r="W80" s="165"/>
      <c r="X80" s="130">
        <f>+O80</f>
        <v>4802717</v>
      </c>
      <c r="Y80" s="130">
        <f t="shared" ref="Y80" si="20">+L80+P80-V80+S80</f>
        <v>7609169</v>
      </c>
      <c r="Z80" s="130"/>
      <c r="AA80" s="303">
        <f t="shared" ref="AA80" si="21">+Y80+Z80+X80</f>
        <v>12411886</v>
      </c>
      <c r="AB80" s="135" t="s">
        <v>59</v>
      </c>
      <c r="AC80" s="143" t="s">
        <v>24</v>
      </c>
      <c r="AD80" s="143" t="s">
        <v>23</v>
      </c>
      <c r="AE80" s="143" t="s">
        <v>1098</v>
      </c>
      <c r="AF80" s="144" t="s">
        <v>1078</v>
      </c>
      <c r="AG80" s="144" t="s">
        <v>1078</v>
      </c>
      <c r="AH80" s="136">
        <v>1</v>
      </c>
      <c r="AI80" s="137" t="s">
        <v>503</v>
      </c>
      <c r="AJ80" s="143" t="s">
        <v>418</v>
      </c>
      <c r="AK80" s="127">
        <f>Ejecución!V81</f>
        <v>0</v>
      </c>
      <c r="AL80" s="127">
        <f>Ejecución!W81</f>
        <v>0</v>
      </c>
      <c r="AM80" s="127">
        <f>Ejecución!Y81</f>
        <v>0</v>
      </c>
      <c r="AN80" s="127"/>
      <c r="AO80" s="127">
        <f>Ejecución!AB81</f>
        <v>0</v>
      </c>
      <c r="AP80" s="127">
        <f>Ejecución!AC81</f>
        <v>0</v>
      </c>
      <c r="AQ80" s="127">
        <f>Ejecución!X81</f>
        <v>0</v>
      </c>
      <c r="AR80" s="127">
        <f>Ejecución!AA81</f>
        <v>0</v>
      </c>
      <c r="AS80" s="127">
        <f>Ejecución!AD81</f>
        <v>0</v>
      </c>
      <c r="AT80" s="497" t="s">
        <v>1080</v>
      </c>
    </row>
    <row r="81" spans="1:46" ht="331.5" x14ac:dyDescent="0.25">
      <c r="A81" s="122" t="s">
        <v>595</v>
      </c>
      <c r="B81" s="541">
        <v>2203018</v>
      </c>
      <c r="C81" s="110" t="s">
        <v>470</v>
      </c>
      <c r="D81" s="124" t="s">
        <v>139</v>
      </c>
      <c r="E81" s="124" t="s">
        <v>130</v>
      </c>
      <c r="F81" s="175" t="s">
        <v>586</v>
      </c>
      <c r="G81" s="203" t="s">
        <v>75</v>
      </c>
      <c r="H81" s="127" t="s">
        <v>41</v>
      </c>
      <c r="I81" s="127" t="s">
        <v>41</v>
      </c>
      <c r="J81" s="190" t="s">
        <v>293</v>
      </c>
      <c r="K81" s="198"/>
      <c r="L81" s="198">
        <v>2000000</v>
      </c>
      <c r="M81" s="166"/>
      <c r="N81" s="304">
        <f t="shared" si="1"/>
        <v>2000000</v>
      </c>
      <c r="O81" s="132"/>
      <c r="P81" s="132"/>
      <c r="Q81" s="132"/>
      <c r="R81" s="132"/>
      <c r="S81" s="132"/>
      <c r="T81" s="132"/>
      <c r="U81" s="110"/>
      <c r="V81" s="110">
        <v>2000000</v>
      </c>
      <c r="W81" s="184"/>
      <c r="X81" s="130"/>
      <c r="Y81" s="130">
        <f t="shared" si="6"/>
        <v>0</v>
      </c>
      <c r="Z81" s="130"/>
      <c r="AA81" s="303">
        <f t="shared" si="7"/>
        <v>0</v>
      </c>
      <c r="AB81" s="135" t="s">
        <v>59</v>
      </c>
      <c r="AC81" s="143" t="s">
        <v>79</v>
      </c>
      <c r="AD81" s="143" t="s">
        <v>23</v>
      </c>
      <c r="AE81" s="143" t="s">
        <v>653</v>
      </c>
      <c r="AF81" s="144" t="s">
        <v>708</v>
      </c>
      <c r="AG81" s="144" t="s">
        <v>708</v>
      </c>
      <c r="AH81" s="136" t="s">
        <v>709</v>
      </c>
      <c r="AI81" s="137" t="s">
        <v>503</v>
      </c>
      <c r="AJ81" s="143" t="s">
        <v>418</v>
      </c>
      <c r="AK81" s="127">
        <f>Ejecución!V81</f>
        <v>0</v>
      </c>
      <c r="AL81" s="127">
        <f>Ejecución!W81</f>
        <v>0</v>
      </c>
      <c r="AM81" s="127">
        <f>Ejecución!Y81</f>
        <v>0</v>
      </c>
      <c r="AN81" s="127">
        <f>Ejecución!Z81</f>
        <v>0</v>
      </c>
      <c r="AO81" s="127">
        <f>Ejecución!AB81</f>
        <v>0</v>
      </c>
      <c r="AP81" s="127">
        <f>Ejecución!AC81</f>
        <v>0</v>
      </c>
      <c r="AQ81" s="127">
        <f>Ejecución!X81</f>
        <v>0</v>
      </c>
      <c r="AR81" s="127">
        <f>Ejecución!AA81</f>
        <v>0</v>
      </c>
      <c r="AS81" s="127">
        <f>Ejecución!AD81</f>
        <v>0</v>
      </c>
      <c r="AT81" s="497" t="s">
        <v>1079</v>
      </c>
    </row>
    <row r="82" spans="1:46" s="139" customFormat="1" ht="240" x14ac:dyDescent="0.25">
      <c r="A82" s="202" t="s">
        <v>587</v>
      </c>
      <c r="B82" s="541">
        <v>2203018</v>
      </c>
      <c r="C82" s="110" t="s">
        <v>470</v>
      </c>
      <c r="D82" s="124" t="s">
        <v>139</v>
      </c>
      <c r="E82" s="124" t="s">
        <v>130</v>
      </c>
      <c r="F82" s="175" t="s">
        <v>586</v>
      </c>
      <c r="G82" s="203" t="s">
        <v>75</v>
      </c>
      <c r="H82" s="127" t="s">
        <v>41</v>
      </c>
      <c r="I82" s="127" t="s">
        <v>41</v>
      </c>
      <c r="J82" s="190" t="s">
        <v>129</v>
      </c>
      <c r="K82" s="181">
        <v>30607500</v>
      </c>
      <c r="L82" s="166"/>
      <c r="M82" s="166"/>
      <c r="N82" s="304">
        <f t="shared" si="1"/>
        <v>30607500</v>
      </c>
      <c r="O82" s="132"/>
      <c r="P82" s="132">
        <v>964783</v>
      </c>
      <c r="Q82" s="132"/>
      <c r="R82" s="132">
        <v>201210</v>
      </c>
      <c r="S82" s="132"/>
      <c r="T82" s="132"/>
      <c r="U82" s="206"/>
      <c r="V82" s="165"/>
      <c r="W82" s="165"/>
      <c r="X82" s="130">
        <f>+K82+R82</f>
        <v>30808710</v>
      </c>
      <c r="Y82" s="130">
        <f t="shared" si="6"/>
        <v>964783</v>
      </c>
      <c r="Z82" s="185"/>
      <c r="AA82" s="303">
        <f t="shared" si="7"/>
        <v>31773493</v>
      </c>
      <c r="AB82" s="135" t="s">
        <v>59</v>
      </c>
      <c r="AC82" s="143" t="s">
        <v>14</v>
      </c>
      <c r="AD82" s="143" t="s">
        <v>23</v>
      </c>
      <c r="AE82" s="143">
        <v>82141504</v>
      </c>
      <c r="AF82" s="136" t="s">
        <v>419</v>
      </c>
      <c r="AG82" s="136" t="s">
        <v>419</v>
      </c>
      <c r="AH82" s="137">
        <v>11</v>
      </c>
      <c r="AI82" s="137" t="s">
        <v>503</v>
      </c>
      <c r="AJ82" s="127" t="s">
        <v>16</v>
      </c>
      <c r="AK82" s="127">
        <f>Ejecución!V82</f>
        <v>30808710</v>
      </c>
      <c r="AL82" s="127">
        <f>Ejecución!W82</f>
        <v>0</v>
      </c>
      <c r="AM82" s="127">
        <f>Ejecución!Y82</f>
        <v>964783</v>
      </c>
      <c r="AN82" s="127">
        <f>Ejecución!Z82</f>
        <v>0</v>
      </c>
      <c r="AO82" s="127">
        <f>Ejecución!AB82</f>
        <v>0</v>
      </c>
      <c r="AP82" s="127">
        <f>Ejecución!AC82</f>
        <v>0</v>
      </c>
      <c r="AQ82" s="127">
        <f>Ejecución!X82</f>
        <v>30607500</v>
      </c>
      <c r="AR82" s="127">
        <f>Ejecución!AA82</f>
        <v>0</v>
      </c>
      <c r="AS82" s="127">
        <f>Ejecución!AD82</f>
        <v>0</v>
      </c>
      <c r="AT82" s="497" t="s">
        <v>1153</v>
      </c>
    </row>
    <row r="83" spans="1:46" s="139" customFormat="1" ht="409.5" x14ac:dyDescent="0.25">
      <c r="A83" s="207" t="s">
        <v>629</v>
      </c>
      <c r="B83" s="123">
        <v>2203018</v>
      </c>
      <c r="C83" s="110" t="s">
        <v>470</v>
      </c>
      <c r="D83" s="124" t="s">
        <v>139</v>
      </c>
      <c r="E83" s="124" t="s">
        <v>130</v>
      </c>
      <c r="F83" s="175" t="s">
        <v>586</v>
      </c>
      <c r="G83" s="201" t="s">
        <v>76</v>
      </c>
      <c r="H83" s="127" t="s">
        <v>41</v>
      </c>
      <c r="I83" s="127" t="s">
        <v>41</v>
      </c>
      <c r="J83" s="159" t="s">
        <v>387</v>
      </c>
      <c r="K83" s="198">
        <v>1100000</v>
      </c>
      <c r="L83" s="470"/>
      <c r="M83" s="166"/>
      <c r="N83" s="304">
        <f>K83+L83+M83</f>
        <v>1100000</v>
      </c>
      <c r="O83" s="132"/>
      <c r="P83" s="132"/>
      <c r="Q83" s="132"/>
      <c r="R83" s="132"/>
      <c r="S83" s="132"/>
      <c r="T83" s="132"/>
      <c r="U83" s="130">
        <v>1100000</v>
      </c>
      <c r="V83" s="165"/>
      <c r="W83" s="110"/>
      <c r="X83" s="130">
        <f>+N83-U83</f>
        <v>0</v>
      </c>
      <c r="Y83" s="130">
        <f t="shared" si="6"/>
        <v>0</v>
      </c>
      <c r="Z83" s="185"/>
      <c r="AA83" s="303">
        <f t="shared" si="7"/>
        <v>0</v>
      </c>
      <c r="AB83" s="135" t="s">
        <v>59</v>
      </c>
      <c r="AC83" s="143" t="s">
        <v>308</v>
      </c>
      <c r="AD83" s="143" t="s">
        <v>296</v>
      </c>
      <c r="AE83" s="143" t="s">
        <v>296</v>
      </c>
      <c r="AF83" s="144" t="s">
        <v>296</v>
      </c>
      <c r="AG83" s="144" t="s">
        <v>296</v>
      </c>
      <c r="AH83" s="137" t="s">
        <v>296</v>
      </c>
      <c r="AI83" s="137" t="s">
        <v>296</v>
      </c>
      <c r="AJ83" s="143" t="s">
        <v>25</v>
      </c>
      <c r="AK83" s="127">
        <f>Ejecución!V83</f>
        <v>0</v>
      </c>
      <c r="AL83" s="127">
        <f>Ejecución!W83</f>
        <v>0</v>
      </c>
      <c r="AM83" s="127">
        <f>Ejecución!Y83</f>
        <v>0</v>
      </c>
      <c r="AN83" s="127">
        <f>Ejecución!Z83</f>
        <v>0</v>
      </c>
      <c r="AO83" s="127">
        <f>Ejecución!AB83</f>
        <v>0</v>
      </c>
      <c r="AP83" s="127">
        <f>Ejecución!AC83</f>
        <v>0</v>
      </c>
      <c r="AQ83" s="127">
        <f>Ejecución!X83</f>
        <v>0</v>
      </c>
      <c r="AR83" s="127">
        <f>Ejecución!AA83</f>
        <v>0</v>
      </c>
      <c r="AS83" s="127">
        <f>Ejecución!AD83</f>
        <v>0</v>
      </c>
      <c r="AT83" s="510" t="s">
        <v>845</v>
      </c>
    </row>
    <row r="84" spans="1:46" s="139" customFormat="1" ht="409.5" x14ac:dyDescent="0.25">
      <c r="A84" s="207" t="s">
        <v>629</v>
      </c>
      <c r="B84" s="123">
        <v>2203018</v>
      </c>
      <c r="C84" s="110" t="s">
        <v>470</v>
      </c>
      <c r="D84" s="124" t="s">
        <v>139</v>
      </c>
      <c r="E84" s="124" t="s">
        <v>130</v>
      </c>
      <c r="F84" s="175" t="s">
        <v>586</v>
      </c>
      <c r="G84" s="201" t="s">
        <v>76</v>
      </c>
      <c r="H84" s="127" t="s">
        <v>41</v>
      </c>
      <c r="I84" s="127" t="s">
        <v>41</v>
      </c>
      <c r="J84" s="159" t="s">
        <v>388</v>
      </c>
      <c r="K84" s="198">
        <v>1650000</v>
      </c>
      <c r="L84" s="163"/>
      <c r="M84" s="166"/>
      <c r="N84" s="304">
        <f t="shared" si="1"/>
        <v>1650000</v>
      </c>
      <c r="O84" s="132"/>
      <c r="P84" s="132"/>
      <c r="Q84" s="132"/>
      <c r="R84" s="132"/>
      <c r="S84" s="132"/>
      <c r="T84" s="132"/>
      <c r="U84" s="130">
        <v>1650000</v>
      </c>
      <c r="V84" s="165"/>
      <c r="W84" s="110"/>
      <c r="X84" s="130">
        <f t="shared" ref="X84:X85" si="22">+N84-U84</f>
        <v>0</v>
      </c>
      <c r="Y84" s="130">
        <f t="shared" si="6"/>
        <v>0</v>
      </c>
      <c r="Z84" s="185"/>
      <c r="AA84" s="303">
        <f t="shared" si="7"/>
        <v>0</v>
      </c>
      <c r="AB84" s="135" t="s">
        <v>59</v>
      </c>
      <c r="AC84" s="143" t="s">
        <v>308</v>
      </c>
      <c r="AD84" s="143" t="s">
        <v>296</v>
      </c>
      <c r="AE84" s="143" t="s">
        <v>296</v>
      </c>
      <c r="AF84" s="144" t="s">
        <v>296</v>
      </c>
      <c r="AG84" s="144" t="s">
        <v>296</v>
      </c>
      <c r="AH84" s="137" t="s">
        <v>296</v>
      </c>
      <c r="AI84" s="137" t="s">
        <v>296</v>
      </c>
      <c r="AJ84" s="143" t="s">
        <v>25</v>
      </c>
      <c r="AK84" s="127">
        <f>Ejecución!V84</f>
        <v>0</v>
      </c>
      <c r="AL84" s="127">
        <f>Ejecución!W84</f>
        <v>0</v>
      </c>
      <c r="AM84" s="127">
        <f>Ejecución!Y84</f>
        <v>0</v>
      </c>
      <c r="AN84" s="127">
        <f>Ejecución!Z84</f>
        <v>0</v>
      </c>
      <c r="AO84" s="127">
        <f>Ejecución!AB84</f>
        <v>0</v>
      </c>
      <c r="AP84" s="127">
        <f>Ejecución!AC84</f>
        <v>0</v>
      </c>
      <c r="AQ84" s="127">
        <f>Ejecución!X84</f>
        <v>0</v>
      </c>
      <c r="AR84" s="127">
        <f>Ejecución!AA84</f>
        <v>0</v>
      </c>
      <c r="AS84" s="127">
        <f>Ejecución!AD84</f>
        <v>0</v>
      </c>
      <c r="AT84" s="167" t="s">
        <v>845</v>
      </c>
    </row>
    <row r="85" spans="1:46" s="139" customFormat="1" ht="409.5" x14ac:dyDescent="0.25">
      <c r="A85" s="207" t="s">
        <v>629</v>
      </c>
      <c r="B85" s="123">
        <v>2203018</v>
      </c>
      <c r="C85" s="110" t="s">
        <v>470</v>
      </c>
      <c r="D85" s="124" t="s">
        <v>139</v>
      </c>
      <c r="E85" s="124" t="s">
        <v>130</v>
      </c>
      <c r="F85" s="175" t="s">
        <v>586</v>
      </c>
      <c r="G85" s="201" t="s">
        <v>76</v>
      </c>
      <c r="H85" s="127" t="s">
        <v>41</v>
      </c>
      <c r="I85" s="127" t="s">
        <v>41</v>
      </c>
      <c r="J85" s="159" t="s">
        <v>389</v>
      </c>
      <c r="K85" s="198">
        <v>1650000</v>
      </c>
      <c r="L85" s="182"/>
      <c r="M85" s="166"/>
      <c r="N85" s="304">
        <f t="shared" si="1"/>
        <v>1650000</v>
      </c>
      <c r="O85" s="132"/>
      <c r="P85" s="132"/>
      <c r="Q85" s="132"/>
      <c r="R85" s="132"/>
      <c r="S85" s="132"/>
      <c r="T85" s="132"/>
      <c r="U85" s="130">
        <f>1173820+476180</f>
        <v>1650000</v>
      </c>
      <c r="V85" s="165"/>
      <c r="W85" s="110"/>
      <c r="X85" s="130">
        <f t="shared" si="22"/>
        <v>0</v>
      </c>
      <c r="Y85" s="130">
        <f t="shared" si="6"/>
        <v>0</v>
      </c>
      <c r="Z85" s="185"/>
      <c r="AA85" s="303">
        <f t="shared" si="7"/>
        <v>0</v>
      </c>
      <c r="AB85" s="135" t="s">
        <v>59</v>
      </c>
      <c r="AC85" s="143" t="s">
        <v>308</v>
      </c>
      <c r="AD85" s="143" t="s">
        <v>296</v>
      </c>
      <c r="AE85" s="143" t="s">
        <v>296</v>
      </c>
      <c r="AF85" s="144" t="s">
        <v>296</v>
      </c>
      <c r="AG85" s="144" t="s">
        <v>296</v>
      </c>
      <c r="AH85" s="137" t="s">
        <v>296</v>
      </c>
      <c r="AI85" s="137" t="s">
        <v>296</v>
      </c>
      <c r="AJ85" s="143" t="s">
        <v>25</v>
      </c>
      <c r="AK85" s="127">
        <f>Ejecución!V85</f>
        <v>0</v>
      </c>
      <c r="AL85" s="127">
        <f>Ejecución!W85</f>
        <v>0</v>
      </c>
      <c r="AM85" s="127">
        <f>Ejecución!Y85</f>
        <v>0</v>
      </c>
      <c r="AN85" s="127">
        <f>Ejecución!Z85</f>
        <v>0</v>
      </c>
      <c r="AO85" s="127">
        <f>Ejecución!AB85</f>
        <v>0</v>
      </c>
      <c r="AP85" s="127">
        <f>Ejecución!AC85</f>
        <v>0</v>
      </c>
      <c r="AQ85" s="127">
        <f>Ejecución!X85</f>
        <v>0</v>
      </c>
      <c r="AR85" s="127">
        <f>Ejecución!AA85</f>
        <v>0</v>
      </c>
      <c r="AS85" s="127">
        <f>Ejecución!AD85</f>
        <v>0</v>
      </c>
      <c r="AT85" s="167" t="s">
        <v>847</v>
      </c>
    </row>
    <row r="86" spans="1:46" s="475" customFormat="1" ht="409.5" x14ac:dyDescent="0.25">
      <c r="A86" s="207" t="s">
        <v>219</v>
      </c>
      <c r="B86" s="541">
        <v>2203018</v>
      </c>
      <c r="C86" s="110" t="s">
        <v>470</v>
      </c>
      <c r="D86" s="124" t="s">
        <v>139</v>
      </c>
      <c r="E86" s="124" t="s">
        <v>130</v>
      </c>
      <c r="F86" s="175" t="s">
        <v>586</v>
      </c>
      <c r="G86" s="203" t="s">
        <v>75</v>
      </c>
      <c r="H86" s="127" t="s">
        <v>26</v>
      </c>
      <c r="I86" s="127" t="s">
        <v>26</v>
      </c>
      <c r="J86" s="159" t="s">
        <v>147</v>
      </c>
      <c r="K86" s="181">
        <v>1988571</v>
      </c>
      <c r="L86" s="166"/>
      <c r="M86" s="166"/>
      <c r="N86" s="304">
        <f t="shared" si="1"/>
        <v>1988571</v>
      </c>
      <c r="O86" s="132"/>
      <c r="P86" s="132"/>
      <c r="Q86" s="132"/>
      <c r="R86" s="132"/>
      <c r="S86" s="132"/>
      <c r="T86" s="132"/>
      <c r="U86" s="130">
        <v>1988571</v>
      </c>
      <c r="V86" s="110"/>
      <c r="W86" s="110"/>
      <c r="X86" s="130">
        <f>+K86-U86</f>
        <v>0</v>
      </c>
      <c r="Y86" s="130">
        <f t="shared" si="6"/>
        <v>0</v>
      </c>
      <c r="Z86" s="185"/>
      <c r="AA86" s="303">
        <f t="shared" si="7"/>
        <v>0</v>
      </c>
      <c r="AB86" s="186" t="s">
        <v>59</v>
      </c>
      <c r="AC86" s="143" t="s">
        <v>82</v>
      </c>
      <c r="AD86" s="143" t="s">
        <v>31</v>
      </c>
      <c r="AE86" s="143" t="s">
        <v>296</v>
      </c>
      <c r="AF86" s="144" t="s">
        <v>296</v>
      </c>
      <c r="AG86" s="144" t="s">
        <v>296</v>
      </c>
      <c r="AH86" s="137" t="s">
        <v>296</v>
      </c>
      <c r="AI86" s="137" t="s">
        <v>296</v>
      </c>
      <c r="AJ86" s="143" t="s">
        <v>25</v>
      </c>
      <c r="AK86" s="127">
        <f>Ejecución!V86</f>
        <v>0</v>
      </c>
      <c r="AL86" s="127">
        <f>Ejecución!W86</f>
        <v>0</v>
      </c>
      <c r="AM86" s="127">
        <f>Ejecución!Y86</f>
        <v>0</v>
      </c>
      <c r="AN86" s="127">
        <f>Ejecución!Z86</f>
        <v>0</v>
      </c>
      <c r="AO86" s="127">
        <f>Ejecución!AB86</f>
        <v>0</v>
      </c>
      <c r="AP86" s="127">
        <f>Ejecución!AC86</f>
        <v>0</v>
      </c>
      <c r="AQ86" s="127">
        <f>Ejecución!X86</f>
        <v>0</v>
      </c>
      <c r="AR86" s="127">
        <f>Ejecución!AA86</f>
        <v>0</v>
      </c>
      <c r="AS86" s="127">
        <f>Ejecución!AD86</f>
        <v>0</v>
      </c>
      <c r="AT86" s="167" t="s">
        <v>876</v>
      </c>
    </row>
    <row r="87" spans="1:46" s="139" customFormat="1" ht="210" x14ac:dyDescent="0.25">
      <c r="A87" s="122" t="s">
        <v>616</v>
      </c>
      <c r="B87" s="123">
        <v>2203016</v>
      </c>
      <c r="C87" s="110" t="s">
        <v>471</v>
      </c>
      <c r="D87" s="124" t="s">
        <v>139</v>
      </c>
      <c r="E87" s="124" t="s">
        <v>130</v>
      </c>
      <c r="F87" s="148" t="s">
        <v>125</v>
      </c>
      <c r="G87" s="125" t="s">
        <v>135</v>
      </c>
      <c r="H87" s="127" t="s">
        <v>15</v>
      </c>
      <c r="I87" s="127" t="s">
        <v>342</v>
      </c>
      <c r="J87" s="128" t="s">
        <v>949</v>
      </c>
      <c r="K87" s="163">
        <v>15000000</v>
      </c>
      <c r="L87" s="169"/>
      <c r="M87" s="131"/>
      <c r="N87" s="304">
        <f t="shared" si="1"/>
        <v>15000000</v>
      </c>
      <c r="O87" s="132"/>
      <c r="P87" s="132"/>
      <c r="Q87" s="132"/>
      <c r="R87" s="132"/>
      <c r="S87" s="182">
        <f>498265+200000</f>
        <v>698265</v>
      </c>
      <c r="T87" s="132"/>
      <c r="U87" s="182">
        <f>800000+498265+200000</f>
        <v>1498265</v>
      </c>
      <c r="V87" s="182"/>
      <c r="W87" s="110"/>
      <c r="X87" s="130">
        <f>+K87+O87-U87+R87</f>
        <v>13501735</v>
      </c>
      <c r="Y87" s="130">
        <f>+L87+P87+S87-V87</f>
        <v>698265</v>
      </c>
      <c r="Z87" s="185"/>
      <c r="AA87" s="303">
        <f>+Y87+Z87+X87</f>
        <v>14200000</v>
      </c>
      <c r="AB87" s="135" t="s">
        <v>59</v>
      </c>
      <c r="AC87" s="127" t="s">
        <v>14</v>
      </c>
      <c r="AD87" s="127" t="s">
        <v>53</v>
      </c>
      <c r="AE87" s="143" t="s">
        <v>649</v>
      </c>
      <c r="AF87" s="144" t="s">
        <v>925</v>
      </c>
      <c r="AG87" s="144" t="s">
        <v>925</v>
      </c>
      <c r="AH87" s="137">
        <v>1</v>
      </c>
      <c r="AI87" s="137" t="s">
        <v>503</v>
      </c>
      <c r="AJ87" s="143" t="s">
        <v>16</v>
      </c>
      <c r="AK87" s="127">
        <f>Ejecución!V87</f>
        <v>13501735</v>
      </c>
      <c r="AL87" s="127">
        <f>Ejecución!W87</f>
        <v>0</v>
      </c>
      <c r="AM87" s="127">
        <f>Ejecución!Y87</f>
        <v>698265</v>
      </c>
      <c r="AN87" s="127">
        <f>Ejecución!Z87</f>
        <v>0</v>
      </c>
      <c r="AO87" s="127">
        <f>Ejecución!AB87</f>
        <v>0</v>
      </c>
      <c r="AP87" s="127">
        <f>Ejecución!AC87</f>
        <v>0</v>
      </c>
      <c r="AQ87" s="127">
        <f>Ejecución!X87</f>
        <v>0</v>
      </c>
      <c r="AR87" s="127">
        <f>Ejecución!AA87</f>
        <v>0</v>
      </c>
      <c r="AS87" s="127">
        <f>Ejecución!AD87</f>
        <v>0</v>
      </c>
      <c r="AT87" s="502" t="s">
        <v>950</v>
      </c>
    </row>
    <row r="88" spans="1:46" s="139" customFormat="1" ht="114" customHeight="1" x14ac:dyDescent="0.25">
      <c r="A88" s="122" t="s">
        <v>592</v>
      </c>
      <c r="B88" s="123">
        <v>2203016</v>
      </c>
      <c r="C88" s="110" t="s">
        <v>471</v>
      </c>
      <c r="D88" s="124" t="s">
        <v>139</v>
      </c>
      <c r="E88" s="124" t="s">
        <v>130</v>
      </c>
      <c r="F88" s="148" t="s">
        <v>125</v>
      </c>
      <c r="G88" s="210" t="s">
        <v>290</v>
      </c>
      <c r="H88" s="127" t="s">
        <v>15</v>
      </c>
      <c r="I88" s="127" t="s">
        <v>342</v>
      </c>
      <c r="J88" s="134" t="s">
        <v>295</v>
      </c>
      <c r="K88" s="208"/>
      <c r="L88" s="209">
        <v>350000</v>
      </c>
      <c r="M88" s="131"/>
      <c r="N88" s="304">
        <f t="shared" si="1"/>
        <v>350000</v>
      </c>
      <c r="O88" s="132"/>
      <c r="P88" s="132"/>
      <c r="Q88" s="132"/>
      <c r="R88" s="182">
        <v>200000</v>
      </c>
      <c r="S88" s="132">
        <v>1000000</v>
      </c>
      <c r="T88" s="132"/>
      <c r="U88" s="182"/>
      <c r="V88" s="182">
        <f>200000+44000</f>
        <v>244000</v>
      </c>
      <c r="W88" s="110"/>
      <c r="X88" s="130">
        <f t="shared" ref="X88:X93" si="23">+K88+O88-U88+R88</f>
        <v>200000</v>
      </c>
      <c r="Y88" s="130">
        <f>+L88+P88+S88-V88</f>
        <v>1106000</v>
      </c>
      <c r="Z88" s="130"/>
      <c r="AA88" s="303">
        <f t="shared" ref="AA88:AA93" si="24">+Y88+Z88+X88</f>
        <v>1306000</v>
      </c>
      <c r="AB88" s="135" t="s">
        <v>59</v>
      </c>
      <c r="AC88" s="143" t="s">
        <v>39</v>
      </c>
      <c r="AD88" s="143" t="s">
        <v>296</v>
      </c>
      <c r="AE88" s="143" t="s">
        <v>296</v>
      </c>
      <c r="AF88" s="144" t="s">
        <v>296</v>
      </c>
      <c r="AG88" s="144" t="s">
        <v>296</v>
      </c>
      <c r="AH88" s="137" t="s">
        <v>296</v>
      </c>
      <c r="AI88" s="137" t="s">
        <v>296</v>
      </c>
      <c r="AJ88" s="143" t="s">
        <v>25</v>
      </c>
      <c r="AK88" s="127">
        <f>Ejecución!V88</f>
        <v>200000</v>
      </c>
      <c r="AL88" s="127">
        <f>Ejecución!W88</f>
        <v>0</v>
      </c>
      <c r="AM88" s="127">
        <f>Ejecución!Y88</f>
        <v>1106000</v>
      </c>
      <c r="AN88" s="127">
        <f>Ejecución!Z88</f>
        <v>0</v>
      </c>
      <c r="AO88" s="127">
        <f>Ejecución!AB88</f>
        <v>0</v>
      </c>
      <c r="AP88" s="127">
        <f>Ejecución!AC88</f>
        <v>0</v>
      </c>
      <c r="AQ88" s="127">
        <f>Ejecución!X88</f>
        <v>200000</v>
      </c>
      <c r="AR88" s="127">
        <f>Ejecución!AA88</f>
        <v>1106000</v>
      </c>
      <c r="AS88" s="127">
        <f>Ejecución!AD88</f>
        <v>0</v>
      </c>
      <c r="AT88" s="511" t="s">
        <v>771</v>
      </c>
    </row>
    <row r="89" spans="1:46" s="139" customFormat="1" ht="252.75" customHeight="1" x14ac:dyDescent="0.25">
      <c r="A89" s="122" t="s">
        <v>592</v>
      </c>
      <c r="B89" s="123">
        <v>2203016</v>
      </c>
      <c r="C89" s="110" t="s">
        <v>471</v>
      </c>
      <c r="D89" s="124" t="s">
        <v>139</v>
      </c>
      <c r="E89" s="124" t="s">
        <v>130</v>
      </c>
      <c r="F89" s="148" t="s">
        <v>125</v>
      </c>
      <c r="G89" s="210" t="s">
        <v>290</v>
      </c>
      <c r="H89" s="127" t="s">
        <v>15</v>
      </c>
      <c r="I89" s="127" t="s">
        <v>342</v>
      </c>
      <c r="J89" s="128" t="s">
        <v>416</v>
      </c>
      <c r="K89" s="208"/>
      <c r="L89" s="209">
        <v>4000000</v>
      </c>
      <c r="M89" s="131"/>
      <c r="N89" s="304">
        <f t="shared" si="1"/>
        <v>4000000</v>
      </c>
      <c r="O89" s="132">
        <v>800000</v>
      </c>
      <c r="P89" s="132"/>
      <c r="Q89" s="132"/>
      <c r="R89" s="132"/>
      <c r="S89" s="132"/>
      <c r="T89" s="132"/>
      <c r="U89" s="182"/>
      <c r="V89" s="182">
        <f>800000+500000</f>
        <v>1300000</v>
      </c>
      <c r="W89" s="110"/>
      <c r="X89" s="130">
        <f t="shared" si="23"/>
        <v>800000</v>
      </c>
      <c r="Y89" s="130">
        <f t="shared" ref="Y89:Y91" si="25">+L89+P89-V89</f>
        <v>2700000</v>
      </c>
      <c r="Z89" s="130"/>
      <c r="AA89" s="303">
        <f t="shared" si="24"/>
        <v>3500000</v>
      </c>
      <c r="AB89" s="135" t="s">
        <v>59</v>
      </c>
      <c r="AC89" s="143" t="s">
        <v>297</v>
      </c>
      <c r="AD89" s="143" t="s">
        <v>27</v>
      </c>
      <c r="AE89" s="143">
        <v>78111502</v>
      </c>
      <c r="AF89" s="136" t="s">
        <v>420</v>
      </c>
      <c r="AG89" s="136" t="s">
        <v>420</v>
      </c>
      <c r="AH89" s="137">
        <v>10</v>
      </c>
      <c r="AI89" s="137" t="s">
        <v>503</v>
      </c>
      <c r="AJ89" s="143" t="s">
        <v>16</v>
      </c>
      <c r="AK89" s="127">
        <f>Ejecución!V89</f>
        <v>800000</v>
      </c>
      <c r="AL89" s="127">
        <f>Ejecución!W89</f>
        <v>0</v>
      </c>
      <c r="AM89" s="127">
        <f>Ejecución!Y89</f>
        <v>2700000</v>
      </c>
      <c r="AN89" s="127">
        <f>Ejecución!Z89</f>
        <v>0</v>
      </c>
      <c r="AO89" s="127">
        <f>Ejecución!AB89</f>
        <v>0</v>
      </c>
      <c r="AP89" s="127">
        <f>Ejecución!AC89</f>
        <v>0</v>
      </c>
      <c r="AQ89" s="127">
        <f>Ejecución!X89</f>
        <v>0</v>
      </c>
      <c r="AR89" s="127">
        <f>Ejecución!AA89</f>
        <v>2056620</v>
      </c>
      <c r="AS89" s="127">
        <f>Ejecución!AD89</f>
        <v>0</v>
      </c>
      <c r="AT89" s="502" t="s">
        <v>853</v>
      </c>
    </row>
    <row r="90" spans="1:46" s="475" customFormat="1" ht="111" customHeight="1" x14ac:dyDescent="0.25">
      <c r="A90" s="122" t="s">
        <v>613</v>
      </c>
      <c r="B90" s="123">
        <v>2203016</v>
      </c>
      <c r="C90" s="110" t="s">
        <v>471</v>
      </c>
      <c r="D90" s="124" t="s">
        <v>139</v>
      </c>
      <c r="E90" s="124" t="s">
        <v>130</v>
      </c>
      <c r="F90" s="148" t="s">
        <v>125</v>
      </c>
      <c r="G90" s="210" t="s">
        <v>290</v>
      </c>
      <c r="H90" s="127" t="s">
        <v>15</v>
      </c>
      <c r="I90" s="127" t="s">
        <v>342</v>
      </c>
      <c r="J90" s="134" t="s">
        <v>386</v>
      </c>
      <c r="K90" s="211"/>
      <c r="L90" s="212">
        <v>3644256</v>
      </c>
      <c r="M90" s="131"/>
      <c r="N90" s="304">
        <f t="shared" ref="N90:N161" si="26">K90+L90+M90</f>
        <v>3644256</v>
      </c>
      <c r="O90" s="132"/>
      <c r="P90" s="132"/>
      <c r="Q90" s="132"/>
      <c r="R90" s="132">
        <v>498265</v>
      </c>
      <c r="S90" s="132">
        <f>1568328+800000</f>
        <v>2368328</v>
      </c>
      <c r="T90" s="132"/>
      <c r="U90" s="182"/>
      <c r="V90" s="182">
        <f>498265+34332</f>
        <v>532597</v>
      </c>
      <c r="W90" s="110"/>
      <c r="X90" s="130">
        <f t="shared" si="23"/>
        <v>498265</v>
      </c>
      <c r="Y90" s="130">
        <f>+L90+P90+S90-V90</f>
        <v>5479987</v>
      </c>
      <c r="Z90" s="130"/>
      <c r="AA90" s="303">
        <f t="shared" si="24"/>
        <v>5978252</v>
      </c>
      <c r="AB90" s="135" t="s">
        <v>59</v>
      </c>
      <c r="AC90" s="143" t="s">
        <v>146</v>
      </c>
      <c r="AD90" s="143" t="s">
        <v>296</v>
      </c>
      <c r="AE90" s="143" t="s">
        <v>296</v>
      </c>
      <c r="AF90" s="144" t="s">
        <v>296</v>
      </c>
      <c r="AG90" s="144" t="s">
        <v>296</v>
      </c>
      <c r="AH90" s="137" t="s">
        <v>296</v>
      </c>
      <c r="AI90" s="137" t="s">
        <v>296</v>
      </c>
      <c r="AJ90" s="143" t="s">
        <v>25</v>
      </c>
      <c r="AK90" s="127">
        <f>Ejecución!V90</f>
        <v>498265</v>
      </c>
      <c r="AL90" s="127">
        <f>Ejecución!W90</f>
        <v>0</v>
      </c>
      <c r="AM90" s="127">
        <f>Ejecución!Y90</f>
        <v>5479987</v>
      </c>
      <c r="AN90" s="127">
        <f>Ejecución!Z90</f>
        <v>0</v>
      </c>
      <c r="AO90" s="127">
        <f>Ejecución!AB90</f>
        <v>0</v>
      </c>
      <c r="AP90" s="127">
        <f>Ejecución!AC90</f>
        <v>0</v>
      </c>
      <c r="AQ90" s="127">
        <f>Ejecución!X90</f>
        <v>498265</v>
      </c>
      <c r="AR90" s="127">
        <f>Ejecución!AA90</f>
        <v>5479987</v>
      </c>
      <c r="AS90" s="127">
        <f>Ejecución!AD90</f>
        <v>0</v>
      </c>
      <c r="AT90" s="511" t="s">
        <v>856</v>
      </c>
    </row>
    <row r="91" spans="1:46" s="475" customFormat="1" ht="409.5" x14ac:dyDescent="0.25">
      <c r="A91" s="122" t="s">
        <v>612</v>
      </c>
      <c r="B91" s="123">
        <v>2203016</v>
      </c>
      <c r="C91" s="110" t="s">
        <v>471</v>
      </c>
      <c r="D91" s="124" t="s">
        <v>139</v>
      </c>
      <c r="E91" s="124" t="s">
        <v>130</v>
      </c>
      <c r="F91" s="148" t="s">
        <v>125</v>
      </c>
      <c r="G91" s="175" t="s">
        <v>136</v>
      </c>
      <c r="H91" s="127" t="s">
        <v>15</v>
      </c>
      <c r="I91" s="127" t="s">
        <v>342</v>
      </c>
      <c r="J91" s="128" t="s">
        <v>414</v>
      </c>
      <c r="K91" s="213"/>
      <c r="L91" s="209">
        <v>13068328</v>
      </c>
      <c r="M91" s="131"/>
      <c r="N91" s="304">
        <f t="shared" si="26"/>
        <v>13068328</v>
      </c>
      <c r="O91" s="132"/>
      <c r="P91" s="132"/>
      <c r="Q91" s="132"/>
      <c r="R91" s="132"/>
      <c r="S91" s="132"/>
      <c r="T91" s="132"/>
      <c r="U91" s="182"/>
      <c r="V91" s="132">
        <f>1900000+1000000+8600000+1568328</f>
        <v>13068328</v>
      </c>
      <c r="W91" s="134"/>
      <c r="X91" s="130">
        <f t="shared" si="23"/>
        <v>0</v>
      </c>
      <c r="Y91" s="130">
        <f t="shared" si="25"/>
        <v>0</v>
      </c>
      <c r="Z91" s="130"/>
      <c r="AA91" s="303">
        <f t="shared" si="24"/>
        <v>0</v>
      </c>
      <c r="AB91" s="135" t="s">
        <v>59</v>
      </c>
      <c r="AC91" s="140" t="s">
        <v>30</v>
      </c>
      <c r="AD91" s="140" t="s">
        <v>53</v>
      </c>
      <c r="AE91" s="141">
        <v>80141902</v>
      </c>
      <c r="AF91" s="136" t="s">
        <v>420</v>
      </c>
      <c r="AG91" s="142" t="s">
        <v>421</v>
      </c>
      <c r="AH91" s="137">
        <v>8</v>
      </c>
      <c r="AI91" s="137" t="s">
        <v>503</v>
      </c>
      <c r="AJ91" s="143" t="s">
        <v>22</v>
      </c>
      <c r="AK91" s="127">
        <f>Ejecución!V91</f>
        <v>0</v>
      </c>
      <c r="AL91" s="127">
        <f>Ejecución!W91</f>
        <v>0</v>
      </c>
      <c r="AM91" s="127">
        <f>Ejecución!Y91</f>
        <v>0</v>
      </c>
      <c r="AN91" s="127">
        <f>Ejecución!Z91</f>
        <v>0</v>
      </c>
      <c r="AO91" s="127">
        <f>Ejecución!AB91</f>
        <v>0</v>
      </c>
      <c r="AP91" s="127">
        <f>Ejecución!AC91</f>
        <v>0</v>
      </c>
      <c r="AQ91" s="127">
        <f>Ejecución!X91</f>
        <v>0</v>
      </c>
      <c r="AR91" s="127">
        <f>Ejecución!AA91</f>
        <v>0</v>
      </c>
      <c r="AS91" s="127">
        <f>Ejecución!AD91</f>
        <v>0</v>
      </c>
      <c r="AT91" s="502" t="s">
        <v>855</v>
      </c>
    </row>
    <row r="92" spans="1:46" ht="281.25" customHeight="1" x14ac:dyDescent="0.25">
      <c r="A92" s="122" t="s">
        <v>612</v>
      </c>
      <c r="B92" s="123">
        <v>2203016</v>
      </c>
      <c r="C92" s="110" t="s">
        <v>471</v>
      </c>
      <c r="D92" s="124" t="s">
        <v>139</v>
      </c>
      <c r="E92" s="124" t="s">
        <v>130</v>
      </c>
      <c r="F92" s="148" t="s">
        <v>125</v>
      </c>
      <c r="G92" s="210" t="s">
        <v>290</v>
      </c>
      <c r="H92" s="127" t="s">
        <v>15</v>
      </c>
      <c r="I92" s="127" t="s">
        <v>342</v>
      </c>
      <c r="J92" s="128" t="s">
        <v>669</v>
      </c>
      <c r="K92" s="214"/>
      <c r="L92" s="209"/>
      <c r="M92" s="131"/>
      <c r="N92" s="304"/>
      <c r="O92" s="132"/>
      <c r="P92" s="132">
        <v>8600000</v>
      </c>
      <c r="Q92" s="132"/>
      <c r="R92" s="132"/>
      <c r="S92" s="132">
        <v>1900000</v>
      </c>
      <c r="T92" s="132"/>
      <c r="U92" s="138"/>
      <c r="V92" s="138"/>
      <c r="W92" s="134"/>
      <c r="X92" s="130">
        <f t="shared" si="23"/>
        <v>0</v>
      </c>
      <c r="Y92" s="130">
        <f>+P92+S92-V92</f>
        <v>10500000</v>
      </c>
      <c r="Z92" s="130"/>
      <c r="AA92" s="303">
        <f t="shared" si="24"/>
        <v>10500000</v>
      </c>
      <c r="AB92" s="135" t="s">
        <v>59</v>
      </c>
      <c r="AC92" s="140" t="s">
        <v>30</v>
      </c>
      <c r="AD92" s="140" t="s">
        <v>53</v>
      </c>
      <c r="AE92" s="141">
        <v>80141607</v>
      </c>
      <c r="AF92" s="142" t="s">
        <v>420</v>
      </c>
      <c r="AG92" s="142" t="s">
        <v>420</v>
      </c>
      <c r="AH92" s="137">
        <v>3</v>
      </c>
      <c r="AI92" s="137" t="s">
        <v>503</v>
      </c>
      <c r="AJ92" s="143" t="s">
        <v>687</v>
      </c>
      <c r="AK92" s="127">
        <f>Ejecución!V92</f>
        <v>0</v>
      </c>
      <c r="AL92" s="127">
        <f>Ejecución!W92</f>
        <v>0</v>
      </c>
      <c r="AM92" s="127">
        <f>Ejecución!Y92</f>
        <v>10500000</v>
      </c>
      <c r="AN92" s="127">
        <f>Ejecución!Z92</f>
        <v>0</v>
      </c>
      <c r="AO92" s="127">
        <f>Ejecución!AB92</f>
        <v>0</v>
      </c>
      <c r="AP92" s="127">
        <f>Ejecución!AC92</f>
        <v>0</v>
      </c>
      <c r="AQ92" s="127">
        <f>Ejecución!X92</f>
        <v>0</v>
      </c>
      <c r="AR92" s="127">
        <f>Ejecución!AA92</f>
        <v>10500000</v>
      </c>
      <c r="AS92" s="127">
        <f>Ejecución!AD92</f>
        <v>0</v>
      </c>
      <c r="AT92" s="496" t="s">
        <v>854</v>
      </c>
    </row>
    <row r="93" spans="1:46" s="475" customFormat="1" ht="225" customHeight="1" x14ac:dyDescent="0.25">
      <c r="A93" s="122" t="s">
        <v>587</v>
      </c>
      <c r="B93" s="123">
        <v>2203016</v>
      </c>
      <c r="C93" s="110" t="s">
        <v>471</v>
      </c>
      <c r="D93" s="124" t="s">
        <v>139</v>
      </c>
      <c r="E93" s="124" t="s">
        <v>130</v>
      </c>
      <c r="F93" s="148" t="s">
        <v>125</v>
      </c>
      <c r="G93" s="210" t="s">
        <v>290</v>
      </c>
      <c r="H93" s="127" t="s">
        <v>15</v>
      </c>
      <c r="I93" s="127" t="s">
        <v>342</v>
      </c>
      <c r="J93" s="127" t="s">
        <v>411</v>
      </c>
      <c r="K93" s="212">
        <v>6000000</v>
      </c>
      <c r="L93" s="215"/>
      <c r="M93" s="131"/>
      <c r="N93" s="304">
        <f t="shared" si="26"/>
        <v>6000000</v>
      </c>
      <c r="O93" s="132"/>
      <c r="P93" s="132"/>
      <c r="Q93" s="132"/>
      <c r="R93" s="132"/>
      <c r="S93" s="132"/>
      <c r="T93" s="132"/>
      <c r="U93" s="182"/>
      <c r="V93" s="182"/>
      <c r="W93" s="110"/>
      <c r="X93" s="130">
        <f t="shared" si="23"/>
        <v>6000000</v>
      </c>
      <c r="Y93" s="476"/>
      <c r="Z93" s="130"/>
      <c r="AA93" s="303">
        <f t="shared" si="24"/>
        <v>6000000</v>
      </c>
      <c r="AB93" s="186" t="s">
        <v>59</v>
      </c>
      <c r="AC93" s="143" t="s">
        <v>79</v>
      </c>
      <c r="AD93" s="143" t="s">
        <v>32</v>
      </c>
      <c r="AE93" s="143" t="s">
        <v>650</v>
      </c>
      <c r="AF93" s="144" t="s">
        <v>68</v>
      </c>
      <c r="AG93" s="144" t="s">
        <v>68</v>
      </c>
      <c r="AH93" s="137">
        <v>1</v>
      </c>
      <c r="AI93" s="137" t="s">
        <v>296</v>
      </c>
      <c r="AJ93" s="155" t="s">
        <v>16</v>
      </c>
      <c r="AK93" s="127">
        <f>Ejecución!V93</f>
        <v>6000000</v>
      </c>
      <c r="AL93" s="127">
        <f>Ejecución!W93</f>
        <v>0</v>
      </c>
      <c r="AM93" s="127">
        <f>Ejecución!Y93</f>
        <v>0</v>
      </c>
      <c r="AN93" s="127">
        <f>Ejecución!Z93</f>
        <v>0</v>
      </c>
      <c r="AO93" s="127">
        <f>Ejecución!AB93</f>
        <v>0</v>
      </c>
      <c r="AP93" s="127">
        <f>Ejecución!AC93</f>
        <v>0</v>
      </c>
      <c r="AQ93" s="127">
        <f>Ejecución!X93</f>
        <v>5997600</v>
      </c>
      <c r="AR93" s="127">
        <f>Ejecución!AA93</f>
        <v>0</v>
      </c>
      <c r="AS93" s="127">
        <f>Ejecución!AD93</f>
        <v>0</v>
      </c>
      <c r="AT93" s="503"/>
    </row>
    <row r="94" spans="1:46" s="475" customFormat="1" ht="210" x14ac:dyDescent="0.25">
      <c r="A94" s="202" t="s">
        <v>624</v>
      </c>
      <c r="B94" s="109">
        <v>2299062</v>
      </c>
      <c r="C94" s="467" t="s">
        <v>476</v>
      </c>
      <c r="D94" s="216" t="s">
        <v>137</v>
      </c>
      <c r="E94" s="216" t="s">
        <v>138</v>
      </c>
      <c r="F94" s="217" t="s">
        <v>121</v>
      </c>
      <c r="G94" s="218" t="s">
        <v>122</v>
      </c>
      <c r="H94" s="127" t="s">
        <v>17</v>
      </c>
      <c r="I94" s="127" t="s">
        <v>17</v>
      </c>
      <c r="J94" s="190" t="s">
        <v>417</v>
      </c>
      <c r="K94" s="166"/>
      <c r="L94" s="132">
        <f>3300000*11*1.05</f>
        <v>38115000</v>
      </c>
      <c r="M94" s="166"/>
      <c r="N94" s="304">
        <f t="shared" si="26"/>
        <v>38115000</v>
      </c>
      <c r="O94" s="132"/>
      <c r="P94" s="132"/>
      <c r="Q94" s="132"/>
      <c r="R94" s="132"/>
      <c r="S94" s="132"/>
      <c r="T94" s="132"/>
      <c r="U94" s="165"/>
      <c r="V94" s="165"/>
      <c r="W94" s="165"/>
      <c r="X94" s="130"/>
      <c r="Y94" s="130">
        <v>38115000</v>
      </c>
      <c r="Z94" s="130"/>
      <c r="AA94" s="303">
        <f t="shared" ref="AA94:AA121" si="27">+Y94+Z94+X94</f>
        <v>38115000</v>
      </c>
      <c r="AB94" s="135" t="s">
        <v>59</v>
      </c>
      <c r="AC94" s="127" t="s">
        <v>14</v>
      </c>
      <c r="AD94" s="127" t="s">
        <v>18</v>
      </c>
      <c r="AE94" s="136">
        <v>81112200</v>
      </c>
      <c r="AF94" s="142" t="s">
        <v>420</v>
      </c>
      <c r="AG94" s="142" t="s">
        <v>420</v>
      </c>
      <c r="AH94" s="137" t="s">
        <v>95</v>
      </c>
      <c r="AI94" s="137" t="s">
        <v>503</v>
      </c>
      <c r="AJ94" s="127" t="s">
        <v>16</v>
      </c>
      <c r="AK94" s="127">
        <f>Ejecución!V94</f>
        <v>0</v>
      </c>
      <c r="AL94" s="127">
        <f>Ejecución!W94</f>
        <v>0</v>
      </c>
      <c r="AM94" s="127">
        <f>Ejecución!Y94</f>
        <v>38115000</v>
      </c>
      <c r="AN94" s="127">
        <f>Ejecución!Z94</f>
        <v>0</v>
      </c>
      <c r="AO94" s="127">
        <f>Ejecución!AB94</f>
        <v>0</v>
      </c>
      <c r="AP94" s="127">
        <f>Ejecución!AC94</f>
        <v>0</v>
      </c>
      <c r="AQ94" s="127">
        <f>Ejecución!X94</f>
        <v>0</v>
      </c>
      <c r="AR94" s="127">
        <f>Ejecución!AA94</f>
        <v>34303500</v>
      </c>
      <c r="AS94" s="127">
        <f>Ejecución!AD94</f>
        <v>0</v>
      </c>
      <c r="AT94" s="498"/>
    </row>
    <row r="95" spans="1:46" s="475" customFormat="1" ht="409.5" x14ac:dyDescent="0.25">
      <c r="A95" s="122" t="s">
        <v>599</v>
      </c>
      <c r="B95" s="109">
        <v>2299062</v>
      </c>
      <c r="C95" s="467" t="s">
        <v>476</v>
      </c>
      <c r="D95" s="216" t="s">
        <v>137</v>
      </c>
      <c r="E95" s="216" t="s">
        <v>138</v>
      </c>
      <c r="F95" s="217" t="s">
        <v>121</v>
      </c>
      <c r="G95" s="218" t="s">
        <v>122</v>
      </c>
      <c r="H95" s="127" t="s">
        <v>17</v>
      </c>
      <c r="I95" s="127" t="s">
        <v>17</v>
      </c>
      <c r="J95" s="190" t="s">
        <v>92</v>
      </c>
      <c r="K95" s="132">
        <v>1500000</v>
      </c>
      <c r="L95" s="166"/>
      <c r="M95" s="166"/>
      <c r="N95" s="304">
        <f t="shared" si="26"/>
        <v>1500000</v>
      </c>
      <c r="O95" s="132"/>
      <c r="P95" s="132"/>
      <c r="Q95" s="132"/>
      <c r="R95" s="132"/>
      <c r="S95" s="132"/>
      <c r="T95" s="132"/>
      <c r="U95" s="165">
        <v>340100</v>
      </c>
      <c r="V95" s="165"/>
      <c r="W95" s="165"/>
      <c r="X95" s="130">
        <f>+N95-U95</f>
        <v>1159900</v>
      </c>
      <c r="Y95" s="476"/>
      <c r="Z95" s="130"/>
      <c r="AA95" s="303">
        <f t="shared" si="27"/>
        <v>1159900</v>
      </c>
      <c r="AB95" s="135" t="s">
        <v>59</v>
      </c>
      <c r="AC95" s="127" t="s">
        <v>14</v>
      </c>
      <c r="AD95" s="127" t="s">
        <v>18</v>
      </c>
      <c r="AE95" s="136">
        <v>81112200</v>
      </c>
      <c r="AF95" s="136" t="s">
        <v>61</v>
      </c>
      <c r="AG95" s="136" t="s">
        <v>61</v>
      </c>
      <c r="AH95" s="137">
        <v>12</v>
      </c>
      <c r="AI95" s="137" t="s">
        <v>503</v>
      </c>
      <c r="AJ95" s="143" t="s">
        <v>418</v>
      </c>
      <c r="AK95" s="127">
        <f>Ejecución!V95</f>
        <v>1159900</v>
      </c>
      <c r="AL95" s="127">
        <f>Ejecución!W95</f>
        <v>0</v>
      </c>
      <c r="AM95" s="127">
        <f>Ejecución!Y95</f>
        <v>0</v>
      </c>
      <c r="AN95" s="127">
        <f>Ejecución!Z95</f>
        <v>0</v>
      </c>
      <c r="AO95" s="127">
        <f>Ejecución!AB95</f>
        <v>0</v>
      </c>
      <c r="AP95" s="127">
        <f>Ejecución!AC95</f>
        <v>0</v>
      </c>
      <c r="AQ95" s="127">
        <f>Ejecución!X95</f>
        <v>1159900</v>
      </c>
      <c r="AR95" s="127">
        <f>Ejecución!AA95</f>
        <v>0</v>
      </c>
      <c r="AS95" s="127">
        <f>Ejecución!AD95</f>
        <v>0</v>
      </c>
      <c r="AT95" s="497" t="s">
        <v>1039</v>
      </c>
    </row>
    <row r="96" spans="1:46" s="139" customFormat="1" ht="210" x14ac:dyDescent="0.25">
      <c r="A96" s="122" t="s">
        <v>622</v>
      </c>
      <c r="B96" s="109">
        <v>2299062</v>
      </c>
      <c r="C96" s="467" t="s">
        <v>476</v>
      </c>
      <c r="D96" s="216" t="s">
        <v>137</v>
      </c>
      <c r="E96" s="216" t="s">
        <v>138</v>
      </c>
      <c r="F96" s="217" t="s">
        <v>121</v>
      </c>
      <c r="G96" s="218" t="s">
        <v>122</v>
      </c>
      <c r="H96" s="127" t="s">
        <v>17</v>
      </c>
      <c r="I96" s="127" t="s">
        <v>17</v>
      </c>
      <c r="J96" s="302" t="s">
        <v>89</v>
      </c>
      <c r="K96" s="132">
        <v>23000000</v>
      </c>
      <c r="L96" s="166"/>
      <c r="M96" s="166"/>
      <c r="N96" s="304">
        <f t="shared" si="26"/>
        <v>23000000</v>
      </c>
      <c r="O96" s="132"/>
      <c r="P96" s="132"/>
      <c r="Q96" s="132"/>
      <c r="R96" s="132"/>
      <c r="S96" s="132"/>
      <c r="T96" s="132"/>
      <c r="U96" s="188">
        <v>23000000</v>
      </c>
      <c r="V96" s="188"/>
      <c r="W96" s="188"/>
      <c r="X96" s="130">
        <f>+K96-U96</f>
        <v>0</v>
      </c>
      <c r="Y96" s="110"/>
      <c r="Z96" s="130"/>
      <c r="AA96" s="303">
        <f t="shared" si="27"/>
        <v>0</v>
      </c>
      <c r="AB96" s="135" t="s">
        <v>59</v>
      </c>
      <c r="AC96" s="112" t="s">
        <v>94</v>
      </c>
      <c r="AD96" s="127" t="s">
        <v>19</v>
      </c>
      <c r="AE96" s="136">
        <v>43231513</v>
      </c>
      <c r="AF96" s="136" t="s">
        <v>425</v>
      </c>
      <c r="AG96" s="136" t="s">
        <v>425</v>
      </c>
      <c r="AH96" s="137" t="s">
        <v>87</v>
      </c>
      <c r="AI96" s="137" t="s">
        <v>503</v>
      </c>
      <c r="AJ96" s="143" t="s">
        <v>418</v>
      </c>
      <c r="AK96" s="127">
        <f>Ejecución!V96</f>
        <v>0</v>
      </c>
      <c r="AL96" s="127">
        <f>Ejecución!W96</f>
        <v>0</v>
      </c>
      <c r="AM96" s="127">
        <f>Ejecución!Y96</f>
        <v>0</v>
      </c>
      <c r="AN96" s="127">
        <f>Ejecución!Z96</f>
        <v>0</v>
      </c>
      <c r="AO96" s="127">
        <f>Ejecución!AB96</f>
        <v>0</v>
      </c>
      <c r="AP96" s="127">
        <f>Ejecución!AC96</f>
        <v>0</v>
      </c>
      <c r="AQ96" s="127">
        <f>Ejecución!X96</f>
        <v>0</v>
      </c>
      <c r="AR96" s="127">
        <f>Ejecución!AA96</f>
        <v>0</v>
      </c>
      <c r="AS96" s="127">
        <f>Ejecución!AD96</f>
        <v>0</v>
      </c>
      <c r="AT96" s="497" t="s">
        <v>936</v>
      </c>
    </row>
    <row r="97" spans="1:46" ht="409.5" x14ac:dyDescent="0.25">
      <c r="A97" s="122" t="s">
        <v>622</v>
      </c>
      <c r="B97" s="109">
        <v>2299062</v>
      </c>
      <c r="C97" s="467" t="s">
        <v>476</v>
      </c>
      <c r="D97" s="216" t="s">
        <v>137</v>
      </c>
      <c r="E97" s="216" t="s">
        <v>138</v>
      </c>
      <c r="F97" s="217" t="s">
        <v>121</v>
      </c>
      <c r="G97" s="218" t="s">
        <v>122</v>
      </c>
      <c r="H97" s="127" t="s">
        <v>17</v>
      </c>
      <c r="I97" s="127" t="s">
        <v>17</v>
      </c>
      <c r="J97" s="127" t="s">
        <v>747</v>
      </c>
      <c r="K97" s="166"/>
      <c r="L97" s="132">
        <v>15000000</v>
      </c>
      <c r="M97" s="166"/>
      <c r="N97" s="304">
        <f t="shared" si="26"/>
        <v>15000000</v>
      </c>
      <c r="O97" s="132"/>
      <c r="P97" s="132"/>
      <c r="Q97" s="132"/>
      <c r="R97" s="132"/>
      <c r="S97" s="132">
        <v>3500000</v>
      </c>
      <c r="T97" s="132"/>
      <c r="U97" s="188"/>
      <c r="V97" s="188">
        <v>2000000</v>
      </c>
      <c r="W97" s="188"/>
      <c r="X97" s="130"/>
      <c r="Y97" s="130">
        <f>+L97+S97-V97</f>
        <v>16500000</v>
      </c>
      <c r="Z97" s="130"/>
      <c r="AA97" s="303">
        <f t="shared" si="27"/>
        <v>16500000</v>
      </c>
      <c r="AB97" s="135" t="s">
        <v>59</v>
      </c>
      <c r="AC97" s="127" t="s">
        <v>21</v>
      </c>
      <c r="AD97" s="127" t="s">
        <v>19</v>
      </c>
      <c r="AE97" s="136">
        <v>81112500</v>
      </c>
      <c r="AF97" s="144" t="s">
        <v>710</v>
      </c>
      <c r="AG97" s="144" t="s">
        <v>710</v>
      </c>
      <c r="AH97" s="137" t="s">
        <v>93</v>
      </c>
      <c r="AI97" s="137" t="s">
        <v>503</v>
      </c>
      <c r="AJ97" s="127" t="s">
        <v>20</v>
      </c>
      <c r="AK97" s="127">
        <f>Ejecución!V97</f>
        <v>0</v>
      </c>
      <c r="AL97" s="127">
        <f>Ejecución!W97</f>
        <v>0</v>
      </c>
      <c r="AM97" s="127">
        <f>Ejecución!Y97</f>
        <v>16500000</v>
      </c>
      <c r="AN97" s="127">
        <f>Ejecución!Z97</f>
        <v>0</v>
      </c>
      <c r="AO97" s="127">
        <f>Ejecución!AB97</f>
        <v>0</v>
      </c>
      <c r="AP97" s="127">
        <f>Ejecución!AC97</f>
        <v>0</v>
      </c>
      <c r="AQ97" s="127">
        <f>Ejecución!X97</f>
        <v>0</v>
      </c>
      <c r="AR97" s="127">
        <f>Ejecución!AA97</f>
        <v>16500000</v>
      </c>
      <c r="AS97" s="127">
        <f>Ejecución!AD97</f>
        <v>0</v>
      </c>
      <c r="AT97" s="497" t="s">
        <v>1044</v>
      </c>
    </row>
    <row r="98" spans="1:46" s="139" customFormat="1" ht="409.5" x14ac:dyDescent="0.25">
      <c r="A98" s="122" t="s">
        <v>623</v>
      </c>
      <c r="B98" s="109">
        <v>2299062</v>
      </c>
      <c r="C98" s="467" t="s">
        <v>476</v>
      </c>
      <c r="D98" s="216" t="s">
        <v>137</v>
      </c>
      <c r="E98" s="216" t="s">
        <v>138</v>
      </c>
      <c r="F98" s="217" t="s">
        <v>121</v>
      </c>
      <c r="G98" s="218" t="s">
        <v>122</v>
      </c>
      <c r="H98" s="127" t="s">
        <v>17</v>
      </c>
      <c r="I98" s="127" t="s">
        <v>17</v>
      </c>
      <c r="J98" s="127" t="s">
        <v>310</v>
      </c>
      <c r="K98" s="166"/>
      <c r="L98" s="132">
        <v>7000000</v>
      </c>
      <c r="M98" s="166"/>
      <c r="N98" s="304">
        <f t="shared" si="26"/>
        <v>7000000</v>
      </c>
      <c r="O98" s="132"/>
      <c r="P98" s="132"/>
      <c r="Q98" s="132"/>
      <c r="R98" s="132"/>
      <c r="S98" s="132"/>
      <c r="T98" s="132"/>
      <c r="U98" s="165"/>
      <c r="V98" s="165">
        <v>30000</v>
      </c>
      <c r="W98" s="165"/>
      <c r="X98" s="130"/>
      <c r="Y98" s="130">
        <f>+N98-V98</f>
        <v>6970000</v>
      </c>
      <c r="Z98" s="130"/>
      <c r="AA98" s="303">
        <f t="shared" si="27"/>
        <v>6970000</v>
      </c>
      <c r="AB98" s="135" t="s">
        <v>59</v>
      </c>
      <c r="AC98" s="127" t="s">
        <v>14</v>
      </c>
      <c r="AD98" s="127" t="s">
        <v>35</v>
      </c>
      <c r="AE98" s="219">
        <v>81111812</v>
      </c>
      <c r="AF98" s="220" t="s">
        <v>711</v>
      </c>
      <c r="AG98" s="220" t="s">
        <v>711</v>
      </c>
      <c r="AH98" s="137" t="s">
        <v>87</v>
      </c>
      <c r="AI98" s="137" t="s">
        <v>503</v>
      </c>
      <c r="AJ98" s="127" t="s">
        <v>20</v>
      </c>
      <c r="AK98" s="127">
        <f>Ejecución!V98</f>
        <v>0</v>
      </c>
      <c r="AL98" s="127">
        <f>Ejecución!W98</f>
        <v>0</v>
      </c>
      <c r="AM98" s="127">
        <f>Ejecución!Y98</f>
        <v>6970000</v>
      </c>
      <c r="AN98" s="127">
        <f>Ejecución!Z98</f>
        <v>0</v>
      </c>
      <c r="AO98" s="127">
        <f>Ejecución!AB98</f>
        <v>0</v>
      </c>
      <c r="AP98" s="127">
        <f>Ejecución!AC98</f>
        <v>0</v>
      </c>
      <c r="AQ98" s="127">
        <f>Ejecución!X98</f>
        <v>0</v>
      </c>
      <c r="AR98" s="127">
        <f>Ejecución!AA98</f>
        <v>1105000</v>
      </c>
      <c r="AS98" s="127">
        <f>Ejecución!AD98</f>
        <v>0</v>
      </c>
      <c r="AT98" s="502" t="s">
        <v>1043</v>
      </c>
    </row>
    <row r="99" spans="1:46" s="139" customFormat="1" ht="210" x14ac:dyDescent="0.25">
      <c r="A99" s="122" t="s">
        <v>602</v>
      </c>
      <c r="B99" s="109">
        <v>2299062</v>
      </c>
      <c r="C99" s="467" t="s">
        <v>476</v>
      </c>
      <c r="D99" s="216" t="s">
        <v>137</v>
      </c>
      <c r="E99" s="216" t="s">
        <v>138</v>
      </c>
      <c r="F99" s="217" t="s">
        <v>121</v>
      </c>
      <c r="G99" s="218" t="s">
        <v>122</v>
      </c>
      <c r="H99" s="127" t="s">
        <v>17</v>
      </c>
      <c r="I99" s="127" t="s">
        <v>17</v>
      </c>
      <c r="J99" s="127" t="s">
        <v>317</v>
      </c>
      <c r="K99" s="166"/>
      <c r="L99" s="470">
        <v>5000000</v>
      </c>
      <c r="M99" s="166"/>
      <c r="N99" s="304">
        <f t="shared" si="26"/>
        <v>5000000</v>
      </c>
      <c r="O99" s="132"/>
      <c r="P99" s="132"/>
      <c r="Q99" s="132"/>
      <c r="R99" s="132"/>
      <c r="S99" s="132"/>
      <c r="T99" s="132"/>
      <c r="U99" s="110"/>
      <c r="V99" s="110"/>
      <c r="W99" s="110"/>
      <c r="X99" s="130"/>
      <c r="Y99" s="130">
        <v>5000000</v>
      </c>
      <c r="Z99" s="130"/>
      <c r="AA99" s="303">
        <f t="shared" si="27"/>
        <v>5000000</v>
      </c>
      <c r="AB99" s="135" t="s">
        <v>59</v>
      </c>
      <c r="AC99" s="127" t="s">
        <v>14</v>
      </c>
      <c r="AD99" s="127" t="s">
        <v>35</v>
      </c>
      <c r="AE99" s="467"/>
      <c r="AF99" s="220" t="s">
        <v>711</v>
      </c>
      <c r="AG99" s="220" t="s">
        <v>711</v>
      </c>
      <c r="AH99" s="467">
        <v>1</v>
      </c>
      <c r="AI99" s="137" t="s">
        <v>503</v>
      </c>
      <c r="AJ99" s="143" t="s">
        <v>418</v>
      </c>
      <c r="AK99" s="127">
        <f>Ejecución!V99</f>
        <v>0</v>
      </c>
      <c r="AL99" s="127">
        <f>Ejecución!W99</f>
        <v>0</v>
      </c>
      <c r="AM99" s="127">
        <f>Ejecución!Y99</f>
        <v>5000000</v>
      </c>
      <c r="AN99" s="127">
        <f>Ejecución!Z99</f>
        <v>0</v>
      </c>
      <c r="AO99" s="127">
        <f>Ejecución!AB99</f>
        <v>0</v>
      </c>
      <c r="AP99" s="127">
        <f>Ejecución!AC99</f>
        <v>0</v>
      </c>
      <c r="AQ99" s="127">
        <f>Ejecución!X99</f>
        <v>0</v>
      </c>
      <c r="AR99" s="127">
        <f>Ejecución!AA99</f>
        <v>2545849</v>
      </c>
      <c r="AS99" s="127">
        <f>Ejecución!AD99</f>
        <v>0</v>
      </c>
      <c r="AT99" s="503"/>
    </row>
    <row r="100" spans="1:46" s="139" customFormat="1" ht="229.5" x14ac:dyDescent="0.25">
      <c r="A100" s="122" t="s">
        <v>604</v>
      </c>
      <c r="B100" s="109">
        <v>2299062</v>
      </c>
      <c r="C100" s="467" t="s">
        <v>476</v>
      </c>
      <c r="D100" s="216" t="s">
        <v>137</v>
      </c>
      <c r="E100" s="216" t="s">
        <v>138</v>
      </c>
      <c r="F100" s="217" t="s">
        <v>121</v>
      </c>
      <c r="G100" s="218" t="s">
        <v>122</v>
      </c>
      <c r="H100" s="127" t="s">
        <v>17</v>
      </c>
      <c r="I100" s="127" t="s">
        <v>17</v>
      </c>
      <c r="J100" s="127" t="s">
        <v>309</v>
      </c>
      <c r="K100" s="166"/>
      <c r="L100" s="132">
        <v>7000000</v>
      </c>
      <c r="M100" s="166"/>
      <c r="N100" s="304">
        <f t="shared" si="26"/>
        <v>7000000</v>
      </c>
      <c r="O100" s="132"/>
      <c r="P100" s="132"/>
      <c r="Q100" s="132"/>
      <c r="R100" s="132"/>
      <c r="S100" s="132"/>
      <c r="T100" s="132"/>
      <c r="U100" s="177"/>
      <c r="V100" s="188">
        <v>7000000</v>
      </c>
      <c r="W100" s="188"/>
      <c r="X100" s="130"/>
      <c r="Y100" s="130">
        <v>7000000</v>
      </c>
      <c r="Z100" s="130"/>
      <c r="AA100" s="303">
        <f>+L100-V100</f>
        <v>0</v>
      </c>
      <c r="AB100" s="135" t="s">
        <v>59</v>
      </c>
      <c r="AC100" s="127" t="s">
        <v>21</v>
      </c>
      <c r="AD100" s="127" t="s">
        <v>19</v>
      </c>
      <c r="AE100" s="136">
        <v>46171610</v>
      </c>
      <c r="AF100" s="220" t="s">
        <v>712</v>
      </c>
      <c r="AG100" s="220" t="s">
        <v>712</v>
      </c>
      <c r="AH100" s="137">
        <v>2</v>
      </c>
      <c r="AI100" s="137" t="s">
        <v>503</v>
      </c>
      <c r="AJ100" s="127" t="s">
        <v>20</v>
      </c>
      <c r="AK100" s="127">
        <f>Ejecución!V100</f>
        <v>0</v>
      </c>
      <c r="AL100" s="127">
        <f>Ejecución!W100</f>
        <v>0</v>
      </c>
      <c r="AM100" s="127">
        <f>Ejecución!Y100</f>
        <v>0</v>
      </c>
      <c r="AN100" s="127">
        <f>Ejecución!Z100</f>
        <v>0</v>
      </c>
      <c r="AO100" s="127">
        <f>Ejecución!AB100</f>
        <v>0</v>
      </c>
      <c r="AP100" s="127">
        <f>Ejecución!AC100</f>
        <v>0</v>
      </c>
      <c r="AQ100" s="127">
        <f>Ejecución!X100</f>
        <v>0</v>
      </c>
      <c r="AR100" s="127">
        <f>Ejecución!AA100</f>
        <v>0</v>
      </c>
      <c r="AS100" s="127">
        <f>Ejecución!AD100</f>
        <v>0</v>
      </c>
      <c r="AT100" s="502" t="s">
        <v>772</v>
      </c>
    </row>
    <row r="101" spans="1:46" s="139" customFormat="1" ht="210" x14ac:dyDescent="0.25">
      <c r="A101" s="122" t="s">
        <v>605</v>
      </c>
      <c r="B101" s="109">
        <v>2299062</v>
      </c>
      <c r="C101" s="467" t="s">
        <v>476</v>
      </c>
      <c r="D101" s="216" t="s">
        <v>137</v>
      </c>
      <c r="E101" s="216" t="s">
        <v>138</v>
      </c>
      <c r="F101" s="217" t="s">
        <v>121</v>
      </c>
      <c r="G101" s="218" t="s">
        <v>122</v>
      </c>
      <c r="H101" s="127" t="s">
        <v>17</v>
      </c>
      <c r="I101" s="127" t="s">
        <v>17</v>
      </c>
      <c r="J101" s="127" t="s">
        <v>427</v>
      </c>
      <c r="K101" s="166"/>
      <c r="L101" s="132">
        <v>15000000</v>
      </c>
      <c r="M101" s="166"/>
      <c r="N101" s="304">
        <f t="shared" si="26"/>
        <v>15000000</v>
      </c>
      <c r="O101" s="132"/>
      <c r="P101" s="132"/>
      <c r="Q101" s="132"/>
      <c r="R101" s="132"/>
      <c r="S101" s="132"/>
      <c r="T101" s="132"/>
      <c r="U101" s="177"/>
      <c r="V101" s="188">
        <v>7000000</v>
      </c>
      <c r="W101" s="188"/>
      <c r="X101" s="130"/>
      <c r="Y101" s="130">
        <f>+L101+S101-V101</f>
        <v>8000000</v>
      </c>
      <c r="Z101" s="130"/>
      <c r="AA101" s="303">
        <f t="shared" si="27"/>
        <v>8000000</v>
      </c>
      <c r="AB101" s="135" t="s">
        <v>59</v>
      </c>
      <c r="AC101" s="127" t="s">
        <v>21</v>
      </c>
      <c r="AD101" s="127" t="s">
        <v>19</v>
      </c>
      <c r="AE101" s="136">
        <v>43211500</v>
      </c>
      <c r="AF101" s="221" t="s">
        <v>422</v>
      </c>
      <c r="AG101" s="221" t="s">
        <v>422</v>
      </c>
      <c r="AH101" s="137">
        <v>6</v>
      </c>
      <c r="AI101" s="137" t="s">
        <v>503</v>
      </c>
      <c r="AJ101" s="143" t="s">
        <v>418</v>
      </c>
      <c r="AK101" s="127">
        <f>Ejecución!V101</f>
        <v>0</v>
      </c>
      <c r="AL101" s="127">
        <f>Ejecución!W101</f>
        <v>0</v>
      </c>
      <c r="AM101" s="127">
        <f>Ejecución!Y101</f>
        <v>3224232</v>
      </c>
      <c r="AN101" s="127">
        <f>Ejecución!Z101</f>
        <v>4775768</v>
      </c>
      <c r="AO101" s="127">
        <f>Ejecución!AB101</f>
        <v>0</v>
      </c>
      <c r="AP101" s="127">
        <f>Ejecución!AC101</f>
        <v>0</v>
      </c>
      <c r="AQ101" s="127">
        <f>Ejecución!X101</f>
        <v>0</v>
      </c>
      <c r="AR101" s="127">
        <f>Ejecución!AA101</f>
        <v>0</v>
      </c>
      <c r="AS101" s="127">
        <f>Ejecución!AD101</f>
        <v>0</v>
      </c>
      <c r="AT101" s="502" t="s">
        <v>787</v>
      </c>
    </row>
    <row r="102" spans="1:46" s="139" customFormat="1" ht="210" x14ac:dyDescent="0.25">
      <c r="A102" s="122" t="s">
        <v>605</v>
      </c>
      <c r="B102" s="109">
        <v>2299062</v>
      </c>
      <c r="C102" s="467" t="s">
        <v>476</v>
      </c>
      <c r="D102" s="216" t="s">
        <v>137</v>
      </c>
      <c r="E102" s="216" t="s">
        <v>138</v>
      </c>
      <c r="F102" s="217" t="s">
        <v>121</v>
      </c>
      <c r="G102" s="218" t="s">
        <v>122</v>
      </c>
      <c r="H102" s="127" t="s">
        <v>17</v>
      </c>
      <c r="I102" s="127" t="s">
        <v>17</v>
      </c>
      <c r="J102" s="127" t="s">
        <v>428</v>
      </c>
      <c r="K102" s="166"/>
      <c r="L102" s="132">
        <v>10000000</v>
      </c>
      <c r="M102" s="166"/>
      <c r="N102" s="304">
        <f t="shared" si="26"/>
        <v>10000000</v>
      </c>
      <c r="O102" s="132"/>
      <c r="P102" s="132"/>
      <c r="Q102" s="132"/>
      <c r="R102" s="132"/>
      <c r="S102" s="132"/>
      <c r="T102" s="132"/>
      <c r="U102" s="183"/>
      <c r="V102" s="183"/>
      <c r="W102" s="183"/>
      <c r="X102" s="130"/>
      <c r="Y102" s="130">
        <v>10000000</v>
      </c>
      <c r="Z102" s="130"/>
      <c r="AA102" s="303">
        <f t="shared" si="27"/>
        <v>10000000</v>
      </c>
      <c r="AB102" s="135" t="s">
        <v>59</v>
      </c>
      <c r="AC102" s="127" t="s">
        <v>21</v>
      </c>
      <c r="AD102" s="127" t="s">
        <v>19</v>
      </c>
      <c r="AE102" s="136"/>
      <c r="AF102" s="221" t="s">
        <v>422</v>
      </c>
      <c r="AG102" s="221" t="s">
        <v>422</v>
      </c>
      <c r="AH102" s="137">
        <v>6</v>
      </c>
      <c r="AI102" s="137" t="s">
        <v>503</v>
      </c>
      <c r="AJ102" s="143" t="s">
        <v>418</v>
      </c>
      <c r="AK102" s="127">
        <f>Ejecución!V102</f>
        <v>0</v>
      </c>
      <c r="AL102" s="127">
        <f>Ejecución!W102</f>
        <v>0</v>
      </c>
      <c r="AM102" s="127">
        <f>Ejecución!Y102</f>
        <v>7909967</v>
      </c>
      <c r="AN102" s="127">
        <f>Ejecución!Z102</f>
        <v>2090033</v>
      </c>
      <c r="AO102" s="127">
        <f>Ejecución!AB102</f>
        <v>0</v>
      </c>
      <c r="AP102" s="127">
        <f>Ejecución!AC102</f>
        <v>0</v>
      </c>
      <c r="AQ102" s="127">
        <f>Ejecución!X102</f>
        <v>0</v>
      </c>
      <c r="AR102" s="127">
        <f>Ejecución!AA102</f>
        <v>0</v>
      </c>
      <c r="AS102" s="127">
        <f>Ejecución!AD102</f>
        <v>0</v>
      </c>
      <c r="AT102" s="514"/>
    </row>
    <row r="103" spans="1:46" s="139" customFormat="1" ht="408" x14ac:dyDescent="0.25">
      <c r="A103" s="122" t="s">
        <v>606</v>
      </c>
      <c r="B103" s="109">
        <v>2299062</v>
      </c>
      <c r="C103" s="467" t="s">
        <v>476</v>
      </c>
      <c r="D103" s="216" t="s">
        <v>137</v>
      </c>
      <c r="E103" s="216" t="s">
        <v>138</v>
      </c>
      <c r="F103" s="217" t="s">
        <v>121</v>
      </c>
      <c r="G103" s="218" t="s">
        <v>122</v>
      </c>
      <c r="H103" s="127" t="s">
        <v>17</v>
      </c>
      <c r="I103" s="127" t="s">
        <v>17</v>
      </c>
      <c r="J103" s="127" t="s">
        <v>429</v>
      </c>
      <c r="K103" s="132">
        <v>20000000</v>
      </c>
      <c r="L103" s="166"/>
      <c r="M103" s="166"/>
      <c r="N103" s="304">
        <f t="shared" si="26"/>
        <v>20000000</v>
      </c>
      <c r="O103" s="132"/>
      <c r="P103" s="132"/>
      <c r="Q103" s="132"/>
      <c r="R103" s="132"/>
      <c r="S103" s="132"/>
      <c r="T103" s="132"/>
      <c r="U103" s="165">
        <f>8000000+551392</f>
        <v>8551392</v>
      </c>
      <c r="V103" s="165"/>
      <c r="W103" s="165"/>
      <c r="X103" s="130">
        <f>+N103-U103</f>
        <v>11448608</v>
      </c>
      <c r="Y103" s="110"/>
      <c r="Z103" s="130"/>
      <c r="AA103" s="303">
        <f t="shared" si="27"/>
        <v>11448608</v>
      </c>
      <c r="AB103" s="135" t="s">
        <v>59</v>
      </c>
      <c r="AC103" s="127" t="s">
        <v>14</v>
      </c>
      <c r="AD103" s="127" t="s">
        <v>18</v>
      </c>
      <c r="AE103" s="219">
        <v>43222600</v>
      </c>
      <c r="AF103" s="221" t="s">
        <v>68</v>
      </c>
      <c r="AG103" s="221" t="s">
        <v>423</v>
      </c>
      <c r="AH103" s="137">
        <v>4</v>
      </c>
      <c r="AI103" s="137" t="s">
        <v>503</v>
      </c>
      <c r="AJ103" s="143" t="s">
        <v>418</v>
      </c>
      <c r="AK103" s="127">
        <f>Ejecución!V103</f>
        <v>11448608</v>
      </c>
      <c r="AL103" s="127">
        <f>Ejecución!W103</f>
        <v>0</v>
      </c>
      <c r="AM103" s="127">
        <f>Ejecución!Y103</f>
        <v>0</v>
      </c>
      <c r="AN103" s="127">
        <f>Ejecución!Z103</f>
        <v>0</v>
      </c>
      <c r="AO103" s="127">
        <f>Ejecución!AB103</f>
        <v>0</v>
      </c>
      <c r="AP103" s="127">
        <f>Ejecución!AC103</f>
        <v>0</v>
      </c>
      <c r="AQ103" s="127">
        <f>Ejecución!X103</f>
        <v>0</v>
      </c>
      <c r="AR103" s="127">
        <f>Ejecución!AA103</f>
        <v>0</v>
      </c>
      <c r="AS103" s="127">
        <f>Ejecución!AD103</f>
        <v>0</v>
      </c>
      <c r="AT103" s="502" t="s">
        <v>1040</v>
      </c>
    </row>
    <row r="104" spans="1:46" s="139" customFormat="1" ht="157.5" customHeight="1" x14ac:dyDescent="0.25">
      <c r="A104" s="122"/>
      <c r="B104" s="109">
        <v>2299062</v>
      </c>
      <c r="C104" s="467" t="s">
        <v>476</v>
      </c>
      <c r="D104" s="216" t="s">
        <v>137</v>
      </c>
      <c r="E104" s="216" t="s">
        <v>138</v>
      </c>
      <c r="F104" s="217" t="s">
        <v>121</v>
      </c>
      <c r="G104" s="218" t="s">
        <v>122</v>
      </c>
      <c r="H104" s="127" t="s">
        <v>17</v>
      </c>
      <c r="I104" s="127" t="s">
        <v>17</v>
      </c>
      <c r="J104" s="127" t="s">
        <v>1011</v>
      </c>
      <c r="K104" s="132"/>
      <c r="L104" s="166"/>
      <c r="M104" s="166"/>
      <c r="N104" s="304">
        <f t="shared" ref="N104" si="28">K104+L104+M104</f>
        <v>0</v>
      </c>
      <c r="O104" s="132">
        <v>8000000</v>
      </c>
      <c r="P104" s="132"/>
      <c r="Q104" s="132"/>
      <c r="R104" s="132"/>
      <c r="S104" s="132"/>
      <c r="T104" s="132"/>
      <c r="U104" s="165"/>
      <c r="V104" s="165"/>
      <c r="W104" s="165"/>
      <c r="X104" s="130">
        <f>+O104</f>
        <v>8000000</v>
      </c>
      <c r="Y104" s="110"/>
      <c r="Z104" s="130"/>
      <c r="AA104" s="303">
        <f t="shared" ref="AA104" si="29">+Y104+Z104+X104</f>
        <v>8000000</v>
      </c>
      <c r="AB104" s="135" t="s">
        <v>59</v>
      </c>
      <c r="AC104" s="127" t="s">
        <v>14</v>
      </c>
      <c r="AD104" s="127" t="s">
        <v>18</v>
      </c>
      <c r="AE104" s="219">
        <v>43233501</v>
      </c>
      <c r="AF104" s="221" t="s">
        <v>925</v>
      </c>
      <c r="AG104" s="221" t="s">
        <v>425</v>
      </c>
      <c r="AH104" s="137">
        <v>1</v>
      </c>
      <c r="AI104" s="137" t="s">
        <v>503</v>
      </c>
      <c r="AJ104" s="143" t="s">
        <v>467</v>
      </c>
      <c r="AK104" s="127"/>
      <c r="AL104" s="127">
        <f>Ejecución!W105</f>
        <v>0</v>
      </c>
      <c r="AM104" s="127">
        <f>Ejecución!Y105</f>
        <v>61758</v>
      </c>
      <c r="AN104" s="127"/>
      <c r="AO104" s="127">
        <f>Ejecución!AB105</f>
        <v>0</v>
      </c>
      <c r="AP104" s="127">
        <f>Ejecución!AC105</f>
        <v>0</v>
      </c>
      <c r="AQ104" s="127"/>
      <c r="AR104" s="127">
        <f>Ejecución!AA105</f>
        <v>0</v>
      </c>
      <c r="AS104" s="127">
        <f>Ejecución!AD105</f>
        <v>0</v>
      </c>
      <c r="AT104" s="502" t="s">
        <v>1012</v>
      </c>
    </row>
    <row r="105" spans="1:46" ht="280.5" x14ac:dyDescent="0.25">
      <c r="A105" s="122" t="s">
        <v>606</v>
      </c>
      <c r="B105" s="109">
        <v>2299062</v>
      </c>
      <c r="C105" s="467" t="s">
        <v>476</v>
      </c>
      <c r="D105" s="216" t="s">
        <v>137</v>
      </c>
      <c r="E105" s="216" t="s">
        <v>138</v>
      </c>
      <c r="F105" s="217" t="s">
        <v>121</v>
      </c>
      <c r="G105" s="218" t="s">
        <v>122</v>
      </c>
      <c r="H105" s="127" t="s">
        <v>17</v>
      </c>
      <c r="I105" s="127" t="s">
        <v>17</v>
      </c>
      <c r="J105" s="127" t="s">
        <v>311</v>
      </c>
      <c r="K105" s="132">
        <v>17000000</v>
      </c>
      <c r="L105" s="166"/>
      <c r="M105" s="166"/>
      <c r="N105" s="304">
        <f t="shared" si="26"/>
        <v>17000000</v>
      </c>
      <c r="O105" s="132"/>
      <c r="P105" s="132">
        <v>61758</v>
      </c>
      <c r="Q105" s="132"/>
      <c r="R105" s="132"/>
      <c r="S105" s="132"/>
      <c r="T105" s="132"/>
      <c r="U105" s="165">
        <f>10852559+2388387</f>
        <v>13240946</v>
      </c>
      <c r="V105" s="165"/>
      <c r="W105" s="165"/>
      <c r="X105" s="130">
        <f>+K105+R105-U105</f>
        <v>3759054</v>
      </c>
      <c r="Y105" s="300">
        <f>+P105-V105</f>
        <v>61758</v>
      </c>
      <c r="Z105" s="130"/>
      <c r="AA105" s="303">
        <f t="shared" si="27"/>
        <v>3820812</v>
      </c>
      <c r="AB105" s="135" t="s">
        <v>59</v>
      </c>
      <c r="AC105" s="127" t="s">
        <v>14</v>
      </c>
      <c r="AD105" s="127" t="s">
        <v>35</v>
      </c>
      <c r="AE105" s="219">
        <v>81112100</v>
      </c>
      <c r="AF105" s="144" t="s">
        <v>420</v>
      </c>
      <c r="AG105" s="144" t="s">
        <v>421</v>
      </c>
      <c r="AH105" s="137" t="s">
        <v>98</v>
      </c>
      <c r="AI105" s="137" t="s">
        <v>503</v>
      </c>
      <c r="AJ105" s="143" t="s">
        <v>418</v>
      </c>
      <c r="AK105" s="127">
        <f>Ejecución!V105</f>
        <v>3759054</v>
      </c>
      <c r="AL105" s="127">
        <f>Ejecución!W105</f>
        <v>0</v>
      </c>
      <c r="AM105" s="127">
        <f>Ejecución!Y105</f>
        <v>61758</v>
      </c>
      <c r="AN105" s="127">
        <f>Ejecución!Z105</f>
        <v>0</v>
      </c>
      <c r="AO105" s="127">
        <f>Ejecución!AB105</f>
        <v>0</v>
      </c>
      <c r="AP105" s="127">
        <f>Ejecución!AC105</f>
        <v>0</v>
      </c>
      <c r="AQ105" s="127">
        <f>Ejecución!X105</f>
        <v>2865606</v>
      </c>
      <c r="AR105" s="127">
        <f>Ejecución!AA105</f>
        <v>0</v>
      </c>
      <c r="AS105" s="127">
        <f>Ejecución!AD105</f>
        <v>0</v>
      </c>
      <c r="AT105" s="502" t="s">
        <v>926</v>
      </c>
    </row>
    <row r="106" spans="1:46" ht="409.5" x14ac:dyDescent="0.25">
      <c r="A106" s="467" t="s">
        <v>465</v>
      </c>
      <c r="B106" s="109">
        <v>2299062</v>
      </c>
      <c r="C106" s="467" t="s">
        <v>476</v>
      </c>
      <c r="D106" s="216" t="s">
        <v>137</v>
      </c>
      <c r="E106" s="216" t="s">
        <v>138</v>
      </c>
      <c r="F106" s="217" t="s">
        <v>121</v>
      </c>
      <c r="G106" s="162" t="s">
        <v>123</v>
      </c>
      <c r="H106" s="127" t="s">
        <v>17</v>
      </c>
      <c r="I106" s="127" t="s">
        <v>17</v>
      </c>
      <c r="J106" s="127" t="s">
        <v>91</v>
      </c>
      <c r="K106" s="132">
        <v>8000000</v>
      </c>
      <c r="L106" s="166"/>
      <c r="M106" s="166"/>
      <c r="N106" s="304">
        <f t="shared" si="26"/>
        <v>8000000</v>
      </c>
      <c r="O106" s="132"/>
      <c r="P106" s="132">
        <v>7000000</v>
      </c>
      <c r="Q106" s="132"/>
      <c r="R106" s="132"/>
      <c r="S106" s="132"/>
      <c r="T106" s="132"/>
      <c r="U106" s="188"/>
      <c r="V106" s="188">
        <f>61758+4935402</f>
        <v>4997160</v>
      </c>
      <c r="W106" s="188"/>
      <c r="X106" s="130">
        <v>8000000</v>
      </c>
      <c r="Y106" s="130">
        <f>+L106+P106-V106</f>
        <v>2002840</v>
      </c>
      <c r="Z106" s="130"/>
      <c r="AA106" s="303">
        <f t="shared" si="27"/>
        <v>10002840</v>
      </c>
      <c r="AB106" s="135" t="s">
        <v>59</v>
      </c>
      <c r="AC106" s="127" t="s">
        <v>21</v>
      </c>
      <c r="AD106" s="127" t="s">
        <v>19</v>
      </c>
      <c r="AE106" s="136">
        <v>43233205</v>
      </c>
      <c r="AF106" s="221" t="s">
        <v>422</v>
      </c>
      <c r="AG106" s="221" t="s">
        <v>422</v>
      </c>
      <c r="AH106" s="137" t="s">
        <v>93</v>
      </c>
      <c r="AI106" s="137" t="s">
        <v>503</v>
      </c>
      <c r="AJ106" s="127" t="s">
        <v>20</v>
      </c>
      <c r="AK106" s="127">
        <f>Ejecución!V106</f>
        <v>8000000</v>
      </c>
      <c r="AL106" s="127">
        <f>Ejecución!W106</f>
        <v>0</v>
      </c>
      <c r="AM106" s="127">
        <f>Ejecución!Y106</f>
        <v>2002840</v>
      </c>
      <c r="AN106" s="127">
        <f>Ejecución!Z106</f>
        <v>0</v>
      </c>
      <c r="AO106" s="127">
        <f>Ejecución!AB106</f>
        <v>0</v>
      </c>
      <c r="AP106" s="127">
        <f>Ejecución!AC106</f>
        <v>0</v>
      </c>
      <c r="AQ106" s="127">
        <f>Ejecución!X106</f>
        <v>8000000</v>
      </c>
      <c r="AR106" s="127">
        <f>Ejecución!AA106</f>
        <v>2002840</v>
      </c>
      <c r="AS106" s="127">
        <f>Ejecución!AD106</f>
        <v>0</v>
      </c>
      <c r="AT106" s="497" t="s">
        <v>1045</v>
      </c>
    </row>
    <row r="107" spans="1:46" ht="210" x14ac:dyDescent="0.25">
      <c r="A107" s="122" t="s">
        <v>605</v>
      </c>
      <c r="B107" s="109">
        <v>2299062</v>
      </c>
      <c r="C107" s="467" t="s">
        <v>476</v>
      </c>
      <c r="D107" s="216" t="s">
        <v>137</v>
      </c>
      <c r="E107" s="216" t="s">
        <v>138</v>
      </c>
      <c r="F107" s="217" t="s">
        <v>121</v>
      </c>
      <c r="G107" s="162" t="s">
        <v>123</v>
      </c>
      <c r="H107" s="127" t="s">
        <v>17</v>
      </c>
      <c r="I107" s="127" t="s">
        <v>17</v>
      </c>
      <c r="J107" s="127" t="s">
        <v>90</v>
      </c>
      <c r="K107" s="166"/>
      <c r="L107" s="132">
        <v>11228828</v>
      </c>
      <c r="M107" s="166"/>
      <c r="N107" s="304">
        <f t="shared" si="26"/>
        <v>11228828</v>
      </c>
      <c r="O107" s="132"/>
      <c r="P107" s="132"/>
      <c r="Q107" s="132"/>
      <c r="R107" s="132"/>
      <c r="S107" s="132"/>
      <c r="T107" s="132"/>
      <c r="U107" s="188"/>
      <c r="V107" s="188">
        <v>11228828</v>
      </c>
      <c r="W107" s="188"/>
      <c r="X107" s="130"/>
      <c r="Y107" s="130">
        <v>11228828</v>
      </c>
      <c r="Z107" s="130"/>
      <c r="AA107" s="303">
        <f>+L107-V107</f>
        <v>0</v>
      </c>
      <c r="AB107" s="135" t="s">
        <v>59</v>
      </c>
      <c r="AC107" s="127" t="s">
        <v>21</v>
      </c>
      <c r="AD107" s="127" t="s">
        <v>19</v>
      </c>
      <c r="AE107" s="136">
        <v>43211500</v>
      </c>
      <c r="AF107" s="221" t="s">
        <v>424</v>
      </c>
      <c r="AG107" s="221" t="s">
        <v>424</v>
      </c>
      <c r="AH107" s="137" t="s">
        <v>93</v>
      </c>
      <c r="AI107" s="137" t="s">
        <v>503</v>
      </c>
      <c r="AJ107" s="127" t="s">
        <v>22</v>
      </c>
      <c r="AK107" s="127">
        <f>Ejecución!V107</f>
        <v>0</v>
      </c>
      <c r="AL107" s="127">
        <f>Ejecución!W107</f>
        <v>0</v>
      </c>
      <c r="AM107" s="127">
        <f>Ejecución!Y107</f>
        <v>0</v>
      </c>
      <c r="AN107" s="127">
        <f>Ejecución!Z107</f>
        <v>0</v>
      </c>
      <c r="AO107" s="127">
        <f>Ejecución!AB107</f>
        <v>0</v>
      </c>
      <c r="AP107" s="127">
        <f>Ejecución!AC107</f>
        <v>0</v>
      </c>
      <c r="AQ107" s="127">
        <f>Ejecución!X107</f>
        <v>0</v>
      </c>
      <c r="AR107" s="127">
        <f>Ejecución!AA107</f>
        <v>0</v>
      </c>
      <c r="AS107" s="127">
        <f>Ejecución!AD107</f>
        <v>0</v>
      </c>
      <c r="AT107" s="497" t="s">
        <v>773</v>
      </c>
    </row>
    <row r="108" spans="1:46" ht="306" x14ac:dyDescent="0.25">
      <c r="A108" s="122" t="s">
        <v>622</v>
      </c>
      <c r="B108" s="109">
        <v>2299062</v>
      </c>
      <c r="C108" s="467" t="s">
        <v>476</v>
      </c>
      <c r="D108" s="216" t="s">
        <v>137</v>
      </c>
      <c r="E108" s="216" t="s">
        <v>138</v>
      </c>
      <c r="F108" s="217" t="s">
        <v>121</v>
      </c>
      <c r="G108" s="162" t="s">
        <v>123</v>
      </c>
      <c r="H108" s="127" t="s">
        <v>17</v>
      </c>
      <c r="I108" s="127" t="s">
        <v>17</v>
      </c>
      <c r="J108" s="127" t="s">
        <v>126</v>
      </c>
      <c r="K108" s="166"/>
      <c r="L108" s="132">
        <v>20000000</v>
      </c>
      <c r="M108" s="166"/>
      <c r="N108" s="304">
        <f t="shared" si="26"/>
        <v>20000000</v>
      </c>
      <c r="O108" s="132"/>
      <c r="P108" s="132"/>
      <c r="Q108" s="132"/>
      <c r="R108" s="132"/>
      <c r="S108" s="132"/>
      <c r="T108" s="132"/>
      <c r="U108" s="165"/>
      <c r="V108" s="165">
        <f>3500000+8122400</f>
        <v>11622400</v>
      </c>
      <c r="W108" s="165"/>
      <c r="X108" s="130"/>
      <c r="Y108" s="130">
        <f>+L108+S108-V108</f>
        <v>8377600</v>
      </c>
      <c r="Z108" s="130"/>
      <c r="AA108" s="303">
        <f t="shared" si="27"/>
        <v>8377600</v>
      </c>
      <c r="AB108" s="135" t="s">
        <v>59</v>
      </c>
      <c r="AC108" s="127" t="s">
        <v>14</v>
      </c>
      <c r="AD108" s="127" t="s">
        <v>35</v>
      </c>
      <c r="AE108" s="136">
        <v>81112200</v>
      </c>
      <c r="AF108" s="136" t="s">
        <v>420</v>
      </c>
      <c r="AG108" s="136" t="s">
        <v>420</v>
      </c>
      <c r="AH108" s="137" t="s">
        <v>93</v>
      </c>
      <c r="AI108" s="137" t="s">
        <v>503</v>
      </c>
      <c r="AJ108" s="152" t="s">
        <v>20</v>
      </c>
      <c r="AK108" s="127">
        <f>Ejecución!V108</f>
        <v>0</v>
      </c>
      <c r="AL108" s="127">
        <f>Ejecución!W108</f>
        <v>0</v>
      </c>
      <c r="AM108" s="127">
        <f>Ejecución!Y108</f>
        <v>8377600</v>
      </c>
      <c r="AN108" s="127">
        <f>Ejecución!Z108</f>
        <v>0</v>
      </c>
      <c r="AO108" s="127">
        <f>Ejecución!AB108</f>
        <v>0</v>
      </c>
      <c r="AP108" s="127">
        <f>Ejecución!AC108</f>
        <v>0</v>
      </c>
      <c r="AQ108" s="127">
        <f>Ejecución!X108</f>
        <v>0</v>
      </c>
      <c r="AR108" s="127">
        <f>Ejecución!AA108</f>
        <v>8377600</v>
      </c>
      <c r="AS108" s="127">
        <f>Ejecución!AD108</f>
        <v>0</v>
      </c>
      <c r="AT108" s="497" t="s">
        <v>774</v>
      </c>
    </row>
    <row r="109" spans="1:46" ht="210" x14ac:dyDescent="0.25">
      <c r="A109" s="202" t="s">
        <v>627</v>
      </c>
      <c r="B109" s="216">
        <v>2299062</v>
      </c>
      <c r="C109" s="467" t="s">
        <v>476</v>
      </c>
      <c r="D109" s="216" t="s">
        <v>137</v>
      </c>
      <c r="E109" s="216" t="s">
        <v>138</v>
      </c>
      <c r="F109" s="217" t="s">
        <v>121</v>
      </c>
      <c r="G109" s="162" t="s">
        <v>123</v>
      </c>
      <c r="H109" s="127" t="s">
        <v>17</v>
      </c>
      <c r="I109" s="127" t="s">
        <v>17</v>
      </c>
      <c r="J109" s="190" t="s">
        <v>504</v>
      </c>
      <c r="K109" s="132">
        <v>30000000</v>
      </c>
      <c r="L109" s="166">
        <v>17000000</v>
      </c>
      <c r="M109" s="166"/>
      <c r="N109" s="304">
        <f t="shared" si="26"/>
        <v>47000000</v>
      </c>
      <c r="O109" s="132"/>
      <c r="P109" s="132"/>
      <c r="Q109" s="132"/>
      <c r="R109" s="132">
        <v>10852559</v>
      </c>
      <c r="S109" s="132"/>
      <c r="T109" s="132"/>
      <c r="U109" s="165"/>
      <c r="V109" s="165"/>
      <c r="W109" s="165"/>
      <c r="X109" s="130">
        <f>+K109+R109-U109</f>
        <v>40852559</v>
      </c>
      <c r="Y109" s="130">
        <v>17000000</v>
      </c>
      <c r="Z109" s="130"/>
      <c r="AA109" s="303">
        <f t="shared" si="27"/>
        <v>57852559</v>
      </c>
      <c r="AB109" s="135" t="s">
        <v>59</v>
      </c>
      <c r="AC109" s="127" t="s">
        <v>14</v>
      </c>
      <c r="AD109" s="127" t="s">
        <v>18</v>
      </c>
      <c r="AE109" s="219">
        <v>81112100</v>
      </c>
      <c r="AF109" s="144" t="s">
        <v>420</v>
      </c>
      <c r="AG109" s="144" t="s">
        <v>420</v>
      </c>
      <c r="AH109" s="137" t="s">
        <v>97</v>
      </c>
      <c r="AI109" s="137" t="s">
        <v>503</v>
      </c>
      <c r="AJ109" s="127" t="s">
        <v>22</v>
      </c>
      <c r="AK109" s="127">
        <f>Ejecución!V109</f>
        <v>40852559</v>
      </c>
      <c r="AL109" s="127">
        <f>Ejecución!W109</f>
        <v>0</v>
      </c>
      <c r="AM109" s="127">
        <f>Ejecución!Y109</f>
        <v>17000000</v>
      </c>
      <c r="AN109" s="127">
        <f>Ejecución!Z109</f>
        <v>0</v>
      </c>
      <c r="AO109" s="127">
        <f>Ejecución!AB109</f>
        <v>0</v>
      </c>
      <c r="AP109" s="127">
        <f>Ejecución!AC109</f>
        <v>0</v>
      </c>
      <c r="AQ109" s="127">
        <f>Ejecución!X109</f>
        <v>40257142.780000001</v>
      </c>
      <c r="AR109" s="127">
        <f>Ejecución!AA109</f>
        <v>0</v>
      </c>
      <c r="AS109" s="127">
        <f>Ejecución!AD109</f>
        <v>0</v>
      </c>
      <c r="AT109" s="513" t="s">
        <v>748</v>
      </c>
    </row>
    <row r="110" spans="1:46" ht="409.5" x14ac:dyDescent="0.25">
      <c r="A110" s="122" t="s">
        <v>603</v>
      </c>
      <c r="B110" s="109">
        <v>2299062</v>
      </c>
      <c r="C110" s="467" t="s">
        <v>476</v>
      </c>
      <c r="D110" s="216" t="s">
        <v>137</v>
      </c>
      <c r="E110" s="216" t="s">
        <v>138</v>
      </c>
      <c r="F110" s="217" t="s">
        <v>121</v>
      </c>
      <c r="G110" s="162" t="s">
        <v>123</v>
      </c>
      <c r="H110" s="127" t="s">
        <v>17</v>
      </c>
      <c r="I110" s="127" t="s">
        <v>17</v>
      </c>
      <c r="J110" s="127" t="s">
        <v>141</v>
      </c>
      <c r="K110" s="166"/>
      <c r="L110" s="132">
        <v>19000000</v>
      </c>
      <c r="M110" s="166"/>
      <c r="N110" s="304">
        <f t="shared" si="26"/>
        <v>19000000</v>
      </c>
      <c r="O110" s="132"/>
      <c r="P110" s="132"/>
      <c r="Q110" s="132"/>
      <c r="R110" s="132"/>
      <c r="S110" s="132"/>
      <c r="T110" s="132"/>
      <c r="U110" s="165"/>
      <c r="V110" s="165">
        <v>1001288</v>
      </c>
      <c r="W110" s="165"/>
      <c r="X110" s="130"/>
      <c r="Y110" s="130">
        <f>+N110-V110</f>
        <v>17998712</v>
      </c>
      <c r="Z110" s="130"/>
      <c r="AA110" s="303">
        <f t="shared" si="27"/>
        <v>17998712</v>
      </c>
      <c r="AB110" s="135" t="s">
        <v>59</v>
      </c>
      <c r="AC110" s="127" t="s">
        <v>14</v>
      </c>
      <c r="AD110" s="127" t="s">
        <v>35</v>
      </c>
      <c r="AE110" s="219">
        <v>81112200</v>
      </c>
      <c r="AF110" s="142" t="s">
        <v>420</v>
      </c>
      <c r="AG110" s="142" t="s">
        <v>420</v>
      </c>
      <c r="AH110" s="137" t="s">
        <v>95</v>
      </c>
      <c r="AI110" s="137" t="s">
        <v>503</v>
      </c>
      <c r="AJ110" s="127" t="s">
        <v>16</v>
      </c>
      <c r="AK110" s="127">
        <f>Ejecución!V110</f>
        <v>0</v>
      </c>
      <c r="AL110" s="127">
        <f>Ejecución!W110</f>
        <v>0</v>
      </c>
      <c r="AM110" s="127">
        <f>Ejecución!Y110</f>
        <v>17998712</v>
      </c>
      <c r="AN110" s="127">
        <f>Ejecución!Z110</f>
        <v>0</v>
      </c>
      <c r="AO110" s="127">
        <f>Ejecución!AB110</f>
        <v>0</v>
      </c>
      <c r="AP110" s="127">
        <f>Ejecución!AC110</f>
        <v>0</v>
      </c>
      <c r="AQ110" s="127">
        <f>Ejecución!X110</f>
        <v>0</v>
      </c>
      <c r="AR110" s="127">
        <f>Ejecución!AA110</f>
        <v>11580199</v>
      </c>
      <c r="AS110" s="127">
        <f>Ejecución!AD110</f>
        <v>0</v>
      </c>
      <c r="AT110" s="497" t="s">
        <v>1043</v>
      </c>
    </row>
    <row r="111" spans="1:46" ht="409.5" x14ac:dyDescent="0.25">
      <c r="A111" s="122" t="s">
        <v>603</v>
      </c>
      <c r="B111" s="109">
        <v>2299062</v>
      </c>
      <c r="C111" s="467" t="s">
        <v>476</v>
      </c>
      <c r="D111" s="216" t="s">
        <v>137</v>
      </c>
      <c r="E111" s="216" t="s">
        <v>138</v>
      </c>
      <c r="F111" s="217" t="s">
        <v>121</v>
      </c>
      <c r="G111" s="162" t="s">
        <v>123</v>
      </c>
      <c r="H111" s="127" t="s">
        <v>17</v>
      </c>
      <c r="I111" s="127" t="s">
        <v>17</v>
      </c>
      <c r="J111" s="127" t="s">
        <v>142</v>
      </c>
      <c r="K111" s="166"/>
      <c r="L111" s="132">
        <v>7000000</v>
      </c>
      <c r="M111" s="166"/>
      <c r="N111" s="304">
        <f t="shared" si="26"/>
        <v>7000000</v>
      </c>
      <c r="O111" s="132"/>
      <c r="P111" s="132"/>
      <c r="Q111" s="132"/>
      <c r="R111" s="132"/>
      <c r="S111" s="132"/>
      <c r="T111" s="132"/>
      <c r="U111" s="177"/>
      <c r="V111" s="165">
        <v>70000</v>
      </c>
      <c r="W111" s="165"/>
      <c r="X111" s="130"/>
      <c r="Y111" s="130">
        <f>+N111-V111</f>
        <v>6930000</v>
      </c>
      <c r="Z111" s="130"/>
      <c r="AA111" s="303">
        <f t="shared" si="27"/>
        <v>6930000</v>
      </c>
      <c r="AB111" s="135" t="s">
        <v>59</v>
      </c>
      <c r="AC111" s="127" t="s">
        <v>14</v>
      </c>
      <c r="AD111" s="127" t="s">
        <v>35</v>
      </c>
      <c r="AE111" s="136">
        <v>81112220</v>
      </c>
      <c r="AF111" s="220" t="s">
        <v>784</v>
      </c>
      <c r="AG111" s="220" t="s">
        <v>785</v>
      </c>
      <c r="AH111" s="136" t="s">
        <v>786</v>
      </c>
      <c r="AI111" s="137" t="s">
        <v>503</v>
      </c>
      <c r="AJ111" s="143" t="s">
        <v>418</v>
      </c>
      <c r="AK111" s="127">
        <f>Ejecución!V111</f>
        <v>0</v>
      </c>
      <c r="AL111" s="127">
        <f>Ejecución!W111</f>
        <v>0</v>
      </c>
      <c r="AM111" s="127">
        <f>Ejecución!Y111</f>
        <v>6930000</v>
      </c>
      <c r="AN111" s="127">
        <f>Ejecución!Z111</f>
        <v>0</v>
      </c>
      <c r="AO111" s="127">
        <f>Ejecución!AB111</f>
        <v>0</v>
      </c>
      <c r="AP111" s="127">
        <f>Ejecución!AC111</f>
        <v>0</v>
      </c>
      <c r="AQ111" s="127">
        <f>Ejecución!X111</f>
        <v>0</v>
      </c>
      <c r="AR111" s="127">
        <f>Ejecución!AA111</f>
        <v>1785000</v>
      </c>
      <c r="AS111" s="127">
        <f>Ejecución!AD111</f>
        <v>0</v>
      </c>
      <c r="AT111" s="497" t="s">
        <v>1043</v>
      </c>
    </row>
    <row r="112" spans="1:46" ht="409.5" x14ac:dyDescent="0.25">
      <c r="A112" s="122" t="s">
        <v>606</v>
      </c>
      <c r="B112" s="109">
        <v>2299062</v>
      </c>
      <c r="C112" s="467" t="s">
        <v>476</v>
      </c>
      <c r="D112" s="216" t="s">
        <v>137</v>
      </c>
      <c r="E112" s="216" t="s">
        <v>138</v>
      </c>
      <c r="F112" s="217" t="s">
        <v>121</v>
      </c>
      <c r="G112" s="162" t="s">
        <v>123</v>
      </c>
      <c r="H112" s="127" t="s">
        <v>17</v>
      </c>
      <c r="I112" s="127" t="s">
        <v>17</v>
      </c>
      <c r="J112" s="127" t="s">
        <v>107</v>
      </c>
      <c r="K112" s="166"/>
      <c r="L112" s="132">
        <v>12000000</v>
      </c>
      <c r="M112" s="166"/>
      <c r="N112" s="304">
        <f t="shared" si="26"/>
        <v>12000000</v>
      </c>
      <c r="O112" s="132"/>
      <c r="P112" s="132"/>
      <c r="Q112" s="132"/>
      <c r="R112" s="132"/>
      <c r="S112" s="132"/>
      <c r="T112" s="132"/>
      <c r="U112" s="177"/>
      <c r="V112" s="165">
        <v>55474</v>
      </c>
      <c r="W112" s="165"/>
      <c r="X112" s="130"/>
      <c r="Y112" s="130">
        <f>+N112-V112</f>
        <v>11944526</v>
      </c>
      <c r="Z112" s="130"/>
      <c r="AA112" s="303">
        <f t="shared" si="27"/>
        <v>11944526</v>
      </c>
      <c r="AB112" s="135" t="s">
        <v>59</v>
      </c>
      <c r="AC112" s="127" t="s">
        <v>14</v>
      </c>
      <c r="AD112" s="127" t="s">
        <v>35</v>
      </c>
      <c r="AE112" s="219">
        <v>83121700</v>
      </c>
      <c r="AF112" s="221" t="s">
        <v>424</v>
      </c>
      <c r="AG112" s="221" t="s">
        <v>424</v>
      </c>
      <c r="AH112" s="137" t="s">
        <v>93</v>
      </c>
      <c r="AI112" s="137" t="s">
        <v>503</v>
      </c>
      <c r="AJ112" s="143" t="s">
        <v>418</v>
      </c>
      <c r="AK112" s="127">
        <f>Ejecución!V112</f>
        <v>0</v>
      </c>
      <c r="AL112" s="127">
        <f>Ejecución!W112</f>
        <v>0</v>
      </c>
      <c r="AM112" s="127">
        <f>Ejecución!Y112</f>
        <v>11944526</v>
      </c>
      <c r="AN112" s="127">
        <f>Ejecución!Z112</f>
        <v>0</v>
      </c>
      <c r="AO112" s="127">
        <f>Ejecución!AB112</f>
        <v>0</v>
      </c>
      <c r="AP112" s="127">
        <f>Ejecución!AC112</f>
        <v>0</v>
      </c>
      <c r="AQ112" s="127">
        <f>Ejecución!X112</f>
        <v>0</v>
      </c>
      <c r="AR112" s="127">
        <f>Ejecución!AA112</f>
        <v>2515350</v>
      </c>
      <c r="AS112" s="127">
        <f>Ejecución!AD112</f>
        <v>0</v>
      </c>
      <c r="AT112" s="497" t="s">
        <v>1043</v>
      </c>
    </row>
    <row r="113" spans="1:46" ht="408" x14ac:dyDescent="0.25">
      <c r="A113" s="122" t="s">
        <v>623</v>
      </c>
      <c r="B113" s="109">
        <v>2299062</v>
      </c>
      <c r="C113" s="467" t="s">
        <v>476</v>
      </c>
      <c r="D113" s="216" t="s">
        <v>137</v>
      </c>
      <c r="E113" s="216" t="s">
        <v>138</v>
      </c>
      <c r="F113" s="217" t="s">
        <v>121</v>
      </c>
      <c r="G113" s="162" t="s">
        <v>123</v>
      </c>
      <c r="H113" s="127" t="s">
        <v>17</v>
      </c>
      <c r="I113" s="127" t="s">
        <v>17</v>
      </c>
      <c r="J113" s="127" t="s">
        <v>106</v>
      </c>
      <c r="K113" s="132">
        <v>7000000</v>
      </c>
      <c r="L113" s="166"/>
      <c r="M113" s="166"/>
      <c r="N113" s="304">
        <f t="shared" si="26"/>
        <v>7000000</v>
      </c>
      <c r="O113" s="132"/>
      <c r="P113" s="132"/>
      <c r="Q113" s="132"/>
      <c r="R113" s="132"/>
      <c r="S113" s="132"/>
      <c r="T113" s="132"/>
      <c r="U113" s="165">
        <v>98000</v>
      </c>
      <c r="V113" s="165"/>
      <c r="W113" s="165"/>
      <c r="X113" s="130">
        <f>+N113-U113</f>
        <v>6902000</v>
      </c>
      <c r="Y113" s="476"/>
      <c r="Z113" s="130"/>
      <c r="AA113" s="303">
        <f t="shared" si="27"/>
        <v>6902000</v>
      </c>
      <c r="AB113" s="135" t="s">
        <v>59</v>
      </c>
      <c r="AC113" s="127" t="s">
        <v>14</v>
      </c>
      <c r="AD113" s="127" t="s">
        <v>35</v>
      </c>
      <c r="AE113" s="219">
        <v>81112200</v>
      </c>
      <c r="AF113" s="136" t="s">
        <v>710</v>
      </c>
      <c r="AG113" s="136" t="s">
        <v>710</v>
      </c>
      <c r="AH113" s="137" t="s">
        <v>98</v>
      </c>
      <c r="AI113" s="137" t="s">
        <v>503</v>
      </c>
      <c r="AJ113" s="127" t="s">
        <v>20</v>
      </c>
      <c r="AK113" s="127">
        <f>Ejecución!V113</f>
        <v>6902000</v>
      </c>
      <c r="AL113" s="127">
        <f>Ejecución!W113</f>
        <v>0</v>
      </c>
      <c r="AM113" s="127">
        <f>Ejecución!Y113</f>
        <v>0</v>
      </c>
      <c r="AN113" s="127">
        <f>Ejecución!Z113</f>
        <v>0</v>
      </c>
      <c r="AO113" s="127">
        <f>Ejecución!AB113</f>
        <v>0</v>
      </c>
      <c r="AP113" s="127">
        <f>Ejecución!AC113</f>
        <v>0</v>
      </c>
      <c r="AQ113" s="127">
        <f>Ejecución!X113</f>
        <v>1368500</v>
      </c>
      <c r="AR113" s="127">
        <f>Ejecución!AA113</f>
        <v>0</v>
      </c>
      <c r="AS113" s="127">
        <f>Ejecución!AD113</f>
        <v>0</v>
      </c>
      <c r="AT113" s="497" t="s">
        <v>1040</v>
      </c>
    </row>
    <row r="114" spans="1:46" ht="210" x14ac:dyDescent="0.25">
      <c r="A114" s="122" t="s">
        <v>593</v>
      </c>
      <c r="B114" s="109">
        <v>2299062</v>
      </c>
      <c r="C114" s="467" t="s">
        <v>476</v>
      </c>
      <c r="D114" s="216" t="s">
        <v>137</v>
      </c>
      <c r="E114" s="216" t="s">
        <v>138</v>
      </c>
      <c r="F114" s="217" t="s">
        <v>121</v>
      </c>
      <c r="G114" s="162" t="s">
        <v>123</v>
      </c>
      <c r="H114" s="127" t="s">
        <v>17</v>
      </c>
      <c r="I114" s="127" t="s">
        <v>17</v>
      </c>
      <c r="J114" s="127" t="s">
        <v>105</v>
      </c>
      <c r="K114" s="132">
        <v>6000000</v>
      </c>
      <c r="L114" s="166"/>
      <c r="M114" s="166"/>
      <c r="N114" s="304">
        <f t="shared" si="26"/>
        <v>6000000</v>
      </c>
      <c r="O114" s="132"/>
      <c r="P114" s="132"/>
      <c r="Q114" s="132"/>
      <c r="R114" s="132"/>
      <c r="S114" s="132"/>
      <c r="T114" s="132"/>
      <c r="U114" s="177"/>
      <c r="V114" s="165"/>
      <c r="W114" s="165"/>
      <c r="X114" s="130">
        <v>6000000</v>
      </c>
      <c r="Y114" s="476"/>
      <c r="Z114" s="130"/>
      <c r="AA114" s="303">
        <f t="shared" si="27"/>
        <v>6000000</v>
      </c>
      <c r="AB114" s="135" t="s">
        <v>59</v>
      </c>
      <c r="AC114" s="127" t="s">
        <v>14</v>
      </c>
      <c r="AD114" s="127" t="s">
        <v>35</v>
      </c>
      <c r="AE114" s="219">
        <v>81112200</v>
      </c>
      <c r="AF114" s="136" t="s">
        <v>420</v>
      </c>
      <c r="AG114" s="136" t="s">
        <v>420</v>
      </c>
      <c r="AH114" s="137" t="s">
        <v>98</v>
      </c>
      <c r="AI114" s="137" t="s">
        <v>503</v>
      </c>
      <c r="AJ114" s="127" t="s">
        <v>20</v>
      </c>
      <c r="AK114" s="127">
        <f>Ejecución!V114</f>
        <v>6000000</v>
      </c>
      <c r="AL114" s="127">
        <f>Ejecución!W114</f>
        <v>0</v>
      </c>
      <c r="AM114" s="127">
        <f>Ejecución!Y114</f>
        <v>0</v>
      </c>
      <c r="AN114" s="127">
        <f>Ejecución!Z114</f>
        <v>0</v>
      </c>
      <c r="AO114" s="127">
        <f>Ejecución!AB114</f>
        <v>0</v>
      </c>
      <c r="AP114" s="127">
        <f>Ejecución!AC114</f>
        <v>0</v>
      </c>
      <c r="AQ114" s="127">
        <f>Ejecución!X114</f>
        <v>1904000</v>
      </c>
      <c r="AR114" s="127">
        <f>Ejecución!AA114</f>
        <v>0</v>
      </c>
      <c r="AS114" s="127">
        <f>Ejecución!AD114</f>
        <v>0</v>
      </c>
      <c r="AT114" s="498"/>
    </row>
    <row r="115" spans="1:46" ht="210" x14ac:dyDescent="0.25">
      <c r="A115" s="202" t="s">
        <v>624</v>
      </c>
      <c r="B115" s="109">
        <v>2299062</v>
      </c>
      <c r="C115" s="467" t="s">
        <v>476</v>
      </c>
      <c r="D115" s="216" t="s">
        <v>137</v>
      </c>
      <c r="E115" s="216" t="s">
        <v>138</v>
      </c>
      <c r="F115" s="217" t="s">
        <v>121</v>
      </c>
      <c r="G115" s="162" t="s">
        <v>123</v>
      </c>
      <c r="H115" s="127" t="s">
        <v>17</v>
      </c>
      <c r="I115" s="127" t="s">
        <v>17</v>
      </c>
      <c r="J115" s="127" t="s">
        <v>104</v>
      </c>
      <c r="K115" s="166"/>
      <c r="L115" s="132">
        <f>2100000*11*1.05</f>
        <v>24255000</v>
      </c>
      <c r="M115" s="166"/>
      <c r="N115" s="304">
        <f t="shared" si="26"/>
        <v>24255000</v>
      </c>
      <c r="O115" s="132"/>
      <c r="P115" s="132"/>
      <c r="Q115" s="132"/>
      <c r="R115" s="132"/>
      <c r="S115" s="132"/>
      <c r="T115" s="132"/>
      <c r="U115" s="165"/>
      <c r="V115" s="165"/>
      <c r="W115" s="165"/>
      <c r="X115" s="130"/>
      <c r="Y115" s="130">
        <v>24255000</v>
      </c>
      <c r="Z115" s="130"/>
      <c r="AA115" s="303">
        <f t="shared" si="27"/>
        <v>24255000</v>
      </c>
      <c r="AB115" s="135" t="s">
        <v>59</v>
      </c>
      <c r="AC115" s="127" t="s">
        <v>14</v>
      </c>
      <c r="AD115" s="127" t="s">
        <v>18</v>
      </c>
      <c r="AE115" s="219">
        <v>81112215</v>
      </c>
      <c r="AF115" s="142" t="s">
        <v>420</v>
      </c>
      <c r="AG115" s="142" t="s">
        <v>420</v>
      </c>
      <c r="AH115" s="137" t="s">
        <v>87</v>
      </c>
      <c r="AI115" s="137" t="s">
        <v>503</v>
      </c>
      <c r="AJ115" s="127" t="s">
        <v>16</v>
      </c>
      <c r="AK115" s="127">
        <f>Ejecución!V115</f>
        <v>0</v>
      </c>
      <c r="AL115" s="127">
        <f>Ejecución!W115</f>
        <v>0</v>
      </c>
      <c r="AM115" s="127">
        <f>Ejecución!Y115</f>
        <v>24255000</v>
      </c>
      <c r="AN115" s="127">
        <f>Ejecución!Z115</f>
        <v>0</v>
      </c>
      <c r="AO115" s="127">
        <f>Ejecución!AB115</f>
        <v>0</v>
      </c>
      <c r="AP115" s="127">
        <f>Ejecución!AC115</f>
        <v>0</v>
      </c>
      <c r="AQ115" s="127">
        <f>Ejecución!X115</f>
        <v>0</v>
      </c>
      <c r="AR115" s="127">
        <f>Ejecución!AA115</f>
        <v>19845000</v>
      </c>
      <c r="AS115" s="127">
        <f>Ejecución!AD115</f>
        <v>0</v>
      </c>
      <c r="AT115" s="497"/>
    </row>
    <row r="116" spans="1:46" ht="408" x14ac:dyDescent="0.25">
      <c r="A116" s="122" t="s">
        <v>587</v>
      </c>
      <c r="B116" s="123">
        <v>2299060</v>
      </c>
      <c r="C116" s="110" t="s">
        <v>475</v>
      </c>
      <c r="D116" s="216" t="s">
        <v>137</v>
      </c>
      <c r="E116" s="216" t="s">
        <v>138</v>
      </c>
      <c r="F116" s="222" t="s">
        <v>118</v>
      </c>
      <c r="G116" s="223" t="s">
        <v>119</v>
      </c>
      <c r="H116" s="127" t="s">
        <v>33</v>
      </c>
      <c r="I116" s="127" t="s">
        <v>462</v>
      </c>
      <c r="J116" s="127" t="s">
        <v>522</v>
      </c>
      <c r="K116" s="132">
        <f>2500000*11.5*1.05</f>
        <v>30187500</v>
      </c>
      <c r="L116" s="166"/>
      <c r="M116" s="166"/>
      <c r="N116" s="304">
        <f t="shared" si="26"/>
        <v>30187500</v>
      </c>
      <c r="O116" s="132"/>
      <c r="P116" s="132"/>
      <c r="Q116" s="132"/>
      <c r="R116" s="132"/>
      <c r="S116" s="132"/>
      <c r="T116" s="132"/>
      <c r="U116" s="165">
        <v>1008911</v>
      </c>
      <c r="V116" s="165"/>
      <c r="W116" s="165"/>
      <c r="X116" s="130">
        <f>+N116-U116</f>
        <v>29178589</v>
      </c>
      <c r="Y116" s="476"/>
      <c r="Z116" s="130"/>
      <c r="AA116" s="303">
        <f t="shared" si="27"/>
        <v>29178589</v>
      </c>
      <c r="AB116" s="135" t="s">
        <v>59</v>
      </c>
      <c r="AC116" s="166" t="s">
        <v>14</v>
      </c>
      <c r="AD116" s="127" t="s">
        <v>103</v>
      </c>
      <c r="AE116" s="136">
        <v>80101505</v>
      </c>
      <c r="AF116" s="136" t="s">
        <v>419</v>
      </c>
      <c r="AG116" s="136" t="s">
        <v>419</v>
      </c>
      <c r="AH116" s="137">
        <v>11</v>
      </c>
      <c r="AI116" s="137" t="s">
        <v>503</v>
      </c>
      <c r="AJ116" s="127" t="s">
        <v>16</v>
      </c>
      <c r="AK116" s="127">
        <f>Ejecución!V116</f>
        <v>29178589</v>
      </c>
      <c r="AL116" s="127">
        <f>Ejecución!W116</f>
        <v>0</v>
      </c>
      <c r="AM116" s="127">
        <f>Ejecución!Y116</f>
        <v>0</v>
      </c>
      <c r="AN116" s="127">
        <f>Ejecución!Z116</f>
        <v>0</v>
      </c>
      <c r="AO116" s="127">
        <f>Ejecución!AB116</f>
        <v>0</v>
      </c>
      <c r="AP116" s="127">
        <f>Ejecución!AC116</f>
        <v>0</v>
      </c>
      <c r="AQ116" s="127">
        <f>Ejecución!X116</f>
        <v>29178589</v>
      </c>
      <c r="AR116" s="127">
        <f>Ejecución!AA116</f>
        <v>0</v>
      </c>
      <c r="AS116" s="127">
        <f>Ejecución!AD116</f>
        <v>0</v>
      </c>
      <c r="AT116" s="497" t="s">
        <v>1040</v>
      </c>
    </row>
    <row r="117" spans="1:46" s="139" customFormat="1" ht="210" x14ac:dyDescent="0.25">
      <c r="A117" s="122" t="s">
        <v>598</v>
      </c>
      <c r="B117" s="123">
        <v>2299060</v>
      </c>
      <c r="C117" s="110" t="s">
        <v>475</v>
      </c>
      <c r="D117" s="216" t="s">
        <v>137</v>
      </c>
      <c r="E117" s="216" t="s">
        <v>138</v>
      </c>
      <c r="F117" s="222" t="s">
        <v>118</v>
      </c>
      <c r="G117" s="222" t="s">
        <v>120</v>
      </c>
      <c r="H117" s="127" t="s">
        <v>38</v>
      </c>
      <c r="I117" s="127" t="s">
        <v>38</v>
      </c>
      <c r="J117" s="127" t="s">
        <v>101</v>
      </c>
      <c r="K117" s="132">
        <f>3100000*11*1.05</f>
        <v>35805000</v>
      </c>
      <c r="L117" s="166"/>
      <c r="M117" s="166"/>
      <c r="N117" s="304">
        <f t="shared" si="26"/>
        <v>35805000</v>
      </c>
      <c r="O117" s="132"/>
      <c r="P117" s="132"/>
      <c r="Q117" s="132"/>
      <c r="R117" s="132"/>
      <c r="S117" s="132"/>
      <c r="T117" s="132"/>
      <c r="U117" s="165"/>
      <c r="V117" s="165"/>
      <c r="W117" s="165"/>
      <c r="X117" s="130">
        <v>35805000</v>
      </c>
      <c r="Y117" s="110"/>
      <c r="Z117" s="130"/>
      <c r="AA117" s="303">
        <f t="shared" si="27"/>
        <v>35805000</v>
      </c>
      <c r="AB117" s="135" t="s">
        <v>59</v>
      </c>
      <c r="AC117" s="166" t="s">
        <v>14</v>
      </c>
      <c r="AD117" s="127" t="s">
        <v>102</v>
      </c>
      <c r="AE117" s="136">
        <v>80161500</v>
      </c>
      <c r="AF117" s="136" t="s">
        <v>299</v>
      </c>
      <c r="AG117" s="136" t="s">
        <v>299</v>
      </c>
      <c r="AH117" s="137" t="s">
        <v>95</v>
      </c>
      <c r="AI117" s="137" t="s">
        <v>503</v>
      </c>
      <c r="AJ117" s="127" t="s">
        <v>16</v>
      </c>
      <c r="AK117" s="127">
        <f>Ejecución!V117</f>
        <v>35805000</v>
      </c>
      <c r="AL117" s="127">
        <f>Ejecución!W117</f>
        <v>0</v>
      </c>
      <c r="AM117" s="127">
        <f>Ejecución!Y117</f>
        <v>0</v>
      </c>
      <c r="AN117" s="127">
        <f>Ejecución!Z117</f>
        <v>0</v>
      </c>
      <c r="AO117" s="127">
        <f>Ejecución!AB117</f>
        <v>0</v>
      </c>
      <c r="AP117" s="127">
        <f>Ejecución!AC117</f>
        <v>0</v>
      </c>
      <c r="AQ117" s="127">
        <f>Ejecución!X117</f>
        <v>35805000</v>
      </c>
      <c r="AR117" s="127">
        <f>Ejecución!AA117</f>
        <v>0</v>
      </c>
      <c r="AS117" s="127">
        <f>Ejecución!AD117</f>
        <v>0</v>
      </c>
      <c r="AT117" s="498"/>
    </row>
    <row r="118" spans="1:46" ht="409.5" x14ac:dyDescent="0.25">
      <c r="A118" s="122" t="s">
        <v>601</v>
      </c>
      <c r="B118" s="123">
        <v>2299058</v>
      </c>
      <c r="C118" s="110" t="s">
        <v>474</v>
      </c>
      <c r="D118" s="216" t="s">
        <v>137</v>
      </c>
      <c r="E118" s="216" t="s">
        <v>138</v>
      </c>
      <c r="F118" s="217" t="s">
        <v>110</v>
      </c>
      <c r="G118" s="179" t="s">
        <v>111</v>
      </c>
      <c r="H118" s="127" t="s">
        <v>33</v>
      </c>
      <c r="I118" s="127" t="s">
        <v>462</v>
      </c>
      <c r="J118" s="127" t="s">
        <v>128</v>
      </c>
      <c r="K118" s="224">
        <v>6000000</v>
      </c>
      <c r="L118" s="225"/>
      <c r="M118" s="131"/>
      <c r="N118" s="304">
        <f t="shared" si="26"/>
        <v>6000000</v>
      </c>
      <c r="O118" s="132"/>
      <c r="P118" s="132"/>
      <c r="Q118" s="132"/>
      <c r="R118" s="132">
        <v>300000</v>
      </c>
      <c r="S118" s="132"/>
      <c r="T118" s="132"/>
      <c r="U118" s="165">
        <v>57404</v>
      </c>
      <c r="V118" s="165"/>
      <c r="W118" s="165"/>
      <c r="X118" s="130">
        <f>+K118+R118-U118</f>
        <v>6242596</v>
      </c>
      <c r="Y118" s="476"/>
      <c r="Z118" s="130"/>
      <c r="AA118" s="303">
        <f t="shared" si="27"/>
        <v>6242596</v>
      </c>
      <c r="AB118" s="135" t="s">
        <v>59</v>
      </c>
      <c r="AC118" s="127" t="s">
        <v>14</v>
      </c>
      <c r="AD118" s="127" t="s">
        <v>103</v>
      </c>
      <c r="AE118" s="136">
        <v>93141808</v>
      </c>
      <c r="AF118" s="221" t="s">
        <v>422</v>
      </c>
      <c r="AG118" s="221" t="s">
        <v>422</v>
      </c>
      <c r="AH118" s="467">
        <v>1</v>
      </c>
      <c r="AI118" s="137" t="s">
        <v>503</v>
      </c>
      <c r="AJ118" s="143" t="s">
        <v>418</v>
      </c>
      <c r="AK118" s="127">
        <f>Ejecución!V118</f>
        <v>6242596</v>
      </c>
      <c r="AL118" s="127">
        <f>Ejecución!W118</f>
        <v>0</v>
      </c>
      <c r="AM118" s="127">
        <f>Ejecución!Y118</f>
        <v>0</v>
      </c>
      <c r="AN118" s="127">
        <f>Ejecución!Z118</f>
        <v>0</v>
      </c>
      <c r="AO118" s="127">
        <f>Ejecución!AB118</f>
        <v>0</v>
      </c>
      <c r="AP118" s="127">
        <f>Ejecución!AC118</f>
        <v>0</v>
      </c>
      <c r="AQ118" s="127">
        <f>Ejecución!X118</f>
        <v>0</v>
      </c>
      <c r="AR118" s="127">
        <f>Ejecución!AA118</f>
        <v>0</v>
      </c>
      <c r="AS118" s="127">
        <f>Ejecución!AD118</f>
        <v>0</v>
      </c>
      <c r="AT118" s="523" t="s">
        <v>1041</v>
      </c>
    </row>
    <row r="119" spans="1:46" ht="409.5" x14ac:dyDescent="0.25">
      <c r="A119" s="122" t="s">
        <v>587</v>
      </c>
      <c r="B119" s="123">
        <v>2299058</v>
      </c>
      <c r="C119" s="110" t="s">
        <v>474</v>
      </c>
      <c r="D119" s="216" t="s">
        <v>137</v>
      </c>
      <c r="E119" s="216" t="s">
        <v>138</v>
      </c>
      <c r="F119" s="217" t="s">
        <v>110</v>
      </c>
      <c r="G119" s="226" t="s">
        <v>112</v>
      </c>
      <c r="H119" s="127" t="s">
        <v>33</v>
      </c>
      <c r="I119" s="127" t="s">
        <v>462</v>
      </c>
      <c r="J119" s="127" t="s">
        <v>140</v>
      </c>
      <c r="K119" s="224">
        <v>6000000</v>
      </c>
      <c r="L119" s="149"/>
      <c r="M119" s="224"/>
      <c r="N119" s="304">
        <f t="shared" si="26"/>
        <v>6000000</v>
      </c>
      <c r="O119" s="132"/>
      <c r="P119" s="132"/>
      <c r="Q119" s="132"/>
      <c r="R119" s="132"/>
      <c r="S119" s="132"/>
      <c r="T119" s="132"/>
      <c r="U119" s="165">
        <f>300000+5700000</f>
        <v>6000000</v>
      </c>
      <c r="V119" s="165"/>
      <c r="W119" s="165"/>
      <c r="X119" s="130">
        <f>+K119+R119-U119</f>
        <v>0</v>
      </c>
      <c r="Y119" s="477"/>
      <c r="Z119" s="130"/>
      <c r="AA119" s="303">
        <f t="shared" si="27"/>
        <v>0</v>
      </c>
      <c r="AB119" s="135" t="s">
        <v>59</v>
      </c>
      <c r="AC119" s="127" t="s">
        <v>14</v>
      </c>
      <c r="AD119" s="127" t="s">
        <v>103</v>
      </c>
      <c r="AE119" s="136">
        <v>86101705</v>
      </c>
      <c r="AF119" s="136" t="s">
        <v>420</v>
      </c>
      <c r="AG119" s="136" t="s">
        <v>420</v>
      </c>
      <c r="AH119" s="137">
        <v>10</v>
      </c>
      <c r="AI119" s="137" t="s">
        <v>503</v>
      </c>
      <c r="AJ119" s="143" t="s">
        <v>418</v>
      </c>
      <c r="AK119" s="127">
        <f>Ejecución!V119</f>
        <v>0</v>
      </c>
      <c r="AL119" s="127">
        <f>Ejecución!W119</f>
        <v>0</v>
      </c>
      <c r="AM119" s="127">
        <f>Ejecución!Y119</f>
        <v>0</v>
      </c>
      <c r="AN119" s="127">
        <f>Ejecución!Z119</f>
        <v>0</v>
      </c>
      <c r="AO119" s="127">
        <f>Ejecución!AB119</f>
        <v>0</v>
      </c>
      <c r="AP119" s="127">
        <f>Ejecución!AC119</f>
        <v>0</v>
      </c>
      <c r="AQ119" s="127">
        <f>Ejecución!X119</f>
        <v>0</v>
      </c>
      <c r="AR119" s="127">
        <f>Ejecución!AA119</f>
        <v>0</v>
      </c>
      <c r="AS119" s="127">
        <f>Ejecución!AD119</f>
        <v>0</v>
      </c>
      <c r="AT119" s="523" t="s">
        <v>1042</v>
      </c>
    </row>
    <row r="120" spans="1:46" ht="409.5" x14ac:dyDescent="0.25">
      <c r="A120" s="122" t="s">
        <v>587</v>
      </c>
      <c r="B120" s="123">
        <v>2299052</v>
      </c>
      <c r="C120" s="110" t="s">
        <v>473</v>
      </c>
      <c r="D120" s="216" t="s">
        <v>137</v>
      </c>
      <c r="E120" s="216" t="s">
        <v>138</v>
      </c>
      <c r="F120" s="227" t="s">
        <v>115</v>
      </c>
      <c r="G120" s="227" t="s">
        <v>117</v>
      </c>
      <c r="H120" s="127" t="s">
        <v>36</v>
      </c>
      <c r="I120" s="127" t="s">
        <v>461</v>
      </c>
      <c r="J120" s="127" t="s">
        <v>320</v>
      </c>
      <c r="K120" s="131"/>
      <c r="L120" s="130">
        <v>22058560</v>
      </c>
      <c r="M120" s="131"/>
      <c r="N120" s="304">
        <f t="shared" si="26"/>
        <v>22058560</v>
      </c>
      <c r="O120" s="132"/>
      <c r="P120" s="132"/>
      <c r="Q120" s="132"/>
      <c r="R120" s="132"/>
      <c r="S120" s="132"/>
      <c r="T120" s="132"/>
      <c r="U120" s="165"/>
      <c r="V120" s="165">
        <v>58560</v>
      </c>
      <c r="W120" s="165"/>
      <c r="X120" s="130"/>
      <c r="Y120" s="130">
        <f>+N120-V120</f>
        <v>22000000</v>
      </c>
      <c r="Z120" s="130"/>
      <c r="AA120" s="303">
        <f t="shared" si="27"/>
        <v>22000000</v>
      </c>
      <c r="AB120" s="135" t="s">
        <v>59</v>
      </c>
      <c r="AC120" s="127" t="s">
        <v>14</v>
      </c>
      <c r="AD120" s="127" t="s">
        <v>37</v>
      </c>
      <c r="AE120" s="136">
        <v>80101505</v>
      </c>
      <c r="AF120" s="136" t="s">
        <v>61</v>
      </c>
      <c r="AG120" s="136" t="s">
        <v>61</v>
      </c>
      <c r="AH120" s="137">
        <v>11</v>
      </c>
      <c r="AI120" s="137" t="s">
        <v>503</v>
      </c>
      <c r="AJ120" s="143" t="s">
        <v>418</v>
      </c>
      <c r="AK120" s="127">
        <f>Ejecución!V120</f>
        <v>0</v>
      </c>
      <c r="AL120" s="127">
        <f>Ejecución!W120</f>
        <v>0</v>
      </c>
      <c r="AM120" s="127">
        <f>Ejecución!Y120</f>
        <v>22000000</v>
      </c>
      <c r="AN120" s="127">
        <f>Ejecución!Z120</f>
        <v>0</v>
      </c>
      <c r="AO120" s="127">
        <f>Ejecución!AB120</f>
        <v>0</v>
      </c>
      <c r="AP120" s="127">
        <f>Ejecución!AC120</f>
        <v>0</v>
      </c>
      <c r="AQ120" s="127">
        <f>Ejecución!X120</f>
        <v>0</v>
      </c>
      <c r="AR120" s="127">
        <f>Ejecución!AA120</f>
        <v>22000000</v>
      </c>
      <c r="AS120" s="127">
        <f>Ejecución!AD120</f>
        <v>0</v>
      </c>
      <c r="AT120" s="497" t="s">
        <v>1043</v>
      </c>
    </row>
    <row r="121" spans="1:46" ht="409.5" x14ac:dyDescent="0.25">
      <c r="A121" s="122" t="s">
        <v>587</v>
      </c>
      <c r="B121" s="123">
        <v>2299052</v>
      </c>
      <c r="C121" s="110" t="s">
        <v>473</v>
      </c>
      <c r="D121" s="216" t="s">
        <v>137</v>
      </c>
      <c r="E121" s="216" t="s">
        <v>138</v>
      </c>
      <c r="F121" s="227" t="s">
        <v>115</v>
      </c>
      <c r="G121" s="227" t="s">
        <v>116</v>
      </c>
      <c r="H121" s="127" t="s">
        <v>36</v>
      </c>
      <c r="I121" s="127" t="s">
        <v>461</v>
      </c>
      <c r="J121" s="127" t="s">
        <v>319</v>
      </c>
      <c r="K121" s="131"/>
      <c r="L121" s="130">
        <v>22058560</v>
      </c>
      <c r="M121" s="131"/>
      <c r="N121" s="304">
        <f>K121+L121+M121</f>
        <v>22058560</v>
      </c>
      <c r="O121" s="132"/>
      <c r="P121" s="132"/>
      <c r="Q121" s="132"/>
      <c r="R121" s="132"/>
      <c r="S121" s="132"/>
      <c r="T121" s="132"/>
      <c r="U121" s="165"/>
      <c r="V121" s="165">
        <v>58560</v>
      </c>
      <c r="W121" s="165"/>
      <c r="X121" s="130"/>
      <c r="Y121" s="130">
        <f>+N121-V121</f>
        <v>22000000</v>
      </c>
      <c r="Z121" s="130"/>
      <c r="AA121" s="303">
        <f t="shared" si="27"/>
        <v>22000000</v>
      </c>
      <c r="AB121" s="135" t="s">
        <v>59</v>
      </c>
      <c r="AC121" s="127" t="s">
        <v>14</v>
      </c>
      <c r="AD121" s="127" t="s">
        <v>37</v>
      </c>
      <c r="AE121" s="136">
        <v>80101505</v>
      </c>
      <c r="AF121" s="136" t="s">
        <v>61</v>
      </c>
      <c r="AG121" s="136" t="s">
        <v>61</v>
      </c>
      <c r="AH121" s="137">
        <v>11</v>
      </c>
      <c r="AI121" s="137" t="s">
        <v>503</v>
      </c>
      <c r="AJ121" s="143" t="s">
        <v>418</v>
      </c>
      <c r="AK121" s="127">
        <f>Ejecución!V121</f>
        <v>0</v>
      </c>
      <c r="AL121" s="127">
        <f>Ejecución!W121</f>
        <v>0</v>
      </c>
      <c r="AM121" s="127">
        <f>Ejecución!Y121</f>
        <v>22000000</v>
      </c>
      <c r="AN121" s="127">
        <f>Ejecución!Z121</f>
        <v>0</v>
      </c>
      <c r="AO121" s="127">
        <f>Ejecución!AB121</f>
        <v>0</v>
      </c>
      <c r="AP121" s="127">
        <f>Ejecución!AC121</f>
        <v>0</v>
      </c>
      <c r="AQ121" s="127">
        <f>Ejecución!X121</f>
        <v>0</v>
      </c>
      <c r="AR121" s="127">
        <f>Ejecución!AA121</f>
        <v>22000000</v>
      </c>
      <c r="AS121" s="127">
        <f>Ejecución!AD121</f>
        <v>0</v>
      </c>
      <c r="AT121" s="497" t="s">
        <v>1043</v>
      </c>
    </row>
    <row r="122" spans="1:46" ht="210" x14ac:dyDescent="0.25">
      <c r="A122" s="202" t="s">
        <v>625</v>
      </c>
      <c r="B122" s="228">
        <v>2299011</v>
      </c>
      <c r="C122" s="110" t="s">
        <v>472</v>
      </c>
      <c r="D122" s="216" t="s">
        <v>137</v>
      </c>
      <c r="E122" s="216" t="s">
        <v>138</v>
      </c>
      <c r="F122" s="229" t="s">
        <v>113</v>
      </c>
      <c r="G122" s="230" t="s">
        <v>114</v>
      </c>
      <c r="H122" s="127" t="s">
        <v>26</v>
      </c>
      <c r="I122" s="127" t="s">
        <v>26</v>
      </c>
      <c r="J122" s="127" t="s">
        <v>127</v>
      </c>
      <c r="K122" s="132">
        <v>12000000</v>
      </c>
      <c r="L122" s="166"/>
      <c r="M122" s="166"/>
      <c r="N122" s="304">
        <f t="shared" si="26"/>
        <v>12000000</v>
      </c>
      <c r="O122" s="132"/>
      <c r="P122" s="132"/>
      <c r="Q122" s="132"/>
      <c r="R122" s="132">
        <v>1700000</v>
      </c>
      <c r="S122" s="132"/>
      <c r="T122" s="132"/>
      <c r="U122" s="165"/>
      <c r="V122" s="165"/>
      <c r="W122" s="165"/>
      <c r="X122" s="130">
        <f>+K122+R122-U122</f>
        <v>13700000</v>
      </c>
      <c r="Y122" s="477"/>
      <c r="Z122" s="130"/>
      <c r="AA122" s="303">
        <f>+K122+R122-U122</f>
        <v>13700000</v>
      </c>
      <c r="AB122" s="135" t="s">
        <v>59</v>
      </c>
      <c r="AC122" s="127" t="s">
        <v>79</v>
      </c>
      <c r="AD122" s="127" t="s">
        <v>27</v>
      </c>
      <c r="AE122" s="136">
        <v>72103300</v>
      </c>
      <c r="AF122" s="221" t="s">
        <v>421</v>
      </c>
      <c r="AG122" s="221" t="s">
        <v>421</v>
      </c>
      <c r="AH122" s="137">
        <v>1</v>
      </c>
      <c r="AI122" s="137" t="s">
        <v>503</v>
      </c>
      <c r="AJ122" s="143" t="s">
        <v>418</v>
      </c>
      <c r="AK122" s="127">
        <f>Ejecución!V122</f>
        <v>13700000</v>
      </c>
      <c r="AL122" s="127">
        <f>Ejecución!W122</f>
        <v>0</v>
      </c>
      <c r="AM122" s="127">
        <f>Ejecución!Y122</f>
        <v>0</v>
      </c>
      <c r="AN122" s="127">
        <f>Ejecución!Z122</f>
        <v>0</v>
      </c>
      <c r="AO122" s="127">
        <f>Ejecución!AB122</f>
        <v>0</v>
      </c>
      <c r="AP122" s="127">
        <f>Ejecución!AC122</f>
        <v>0</v>
      </c>
      <c r="AQ122" s="127">
        <f>Ejecución!X122</f>
        <v>10000000</v>
      </c>
      <c r="AR122" s="127">
        <f>Ejecución!AA122</f>
        <v>0</v>
      </c>
      <c r="AS122" s="127">
        <f>Ejecución!AD122</f>
        <v>0</v>
      </c>
      <c r="AT122" s="497" t="s">
        <v>775</v>
      </c>
    </row>
    <row r="123" spans="1:46" s="139" customFormat="1" ht="409.5" x14ac:dyDescent="0.25">
      <c r="A123" s="202" t="s">
        <v>626</v>
      </c>
      <c r="B123" s="228">
        <v>2299011</v>
      </c>
      <c r="C123" s="110" t="s">
        <v>472</v>
      </c>
      <c r="D123" s="216" t="s">
        <v>137</v>
      </c>
      <c r="E123" s="216" t="s">
        <v>138</v>
      </c>
      <c r="F123" s="229" t="s">
        <v>113</v>
      </c>
      <c r="G123" s="230" t="s">
        <v>114</v>
      </c>
      <c r="H123" s="127" t="s">
        <v>26</v>
      </c>
      <c r="I123" s="127" t="s">
        <v>26</v>
      </c>
      <c r="J123" s="127" t="s">
        <v>791</v>
      </c>
      <c r="K123" s="132">
        <v>71808357</v>
      </c>
      <c r="L123" s="166">
        <v>11141196.00000006</v>
      </c>
      <c r="M123" s="166"/>
      <c r="N123" s="304">
        <f t="shared" si="26"/>
        <v>82949553.00000006</v>
      </c>
      <c r="O123" s="132"/>
      <c r="P123" s="132"/>
      <c r="Q123" s="132"/>
      <c r="R123" s="132">
        <f>2388387+23000000+7755807</f>
        <v>33144194</v>
      </c>
      <c r="S123" s="132">
        <f>7000000+11228828+8122400+8209283</f>
        <v>34560511</v>
      </c>
      <c r="T123" s="132"/>
      <c r="U123" s="165">
        <v>1700000</v>
      </c>
      <c r="V123" s="165"/>
      <c r="W123" s="165"/>
      <c r="X123" s="132">
        <f>+K123+R123-U123</f>
        <v>103252551</v>
      </c>
      <c r="Y123" s="166">
        <f>+L123+S123-V123</f>
        <v>45701707.00000006</v>
      </c>
      <c r="Z123" s="130"/>
      <c r="AA123" s="303">
        <f t="shared" ref="AA123:AA160" si="30">+Y123+Z123+X123</f>
        <v>148954258.00000006</v>
      </c>
      <c r="AB123" s="135" t="s">
        <v>59</v>
      </c>
      <c r="AC123" s="127" t="s">
        <v>34</v>
      </c>
      <c r="AD123" s="127" t="s">
        <v>27</v>
      </c>
      <c r="AE123" s="136">
        <v>72103300</v>
      </c>
      <c r="AF123" s="221" t="s">
        <v>422</v>
      </c>
      <c r="AG123" s="221" t="s">
        <v>790</v>
      </c>
      <c r="AH123" s="467">
        <v>4</v>
      </c>
      <c r="AI123" s="137" t="s">
        <v>503</v>
      </c>
      <c r="AJ123" s="143" t="s">
        <v>467</v>
      </c>
      <c r="AK123" s="127">
        <f>Ejecución!V123</f>
        <v>103252551</v>
      </c>
      <c r="AL123" s="127">
        <f>Ejecución!W123</f>
        <v>0</v>
      </c>
      <c r="AM123" s="127">
        <f>Ejecución!Y123</f>
        <v>45359738</v>
      </c>
      <c r="AN123" s="127">
        <f>Ejecución!Z123</f>
        <v>341969.0000000596</v>
      </c>
      <c r="AO123" s="127">
        <f>Ejecución!AB123</f>
        <v>0</v>
      </c>
      <c r="AP123" s="127">
        <f>Ejecución!AC123</f>
        <v>0</v>
      </c>
      <c r="AQ123" s="127">
        <f>Ejecución!X123</f>
        <v>71467329</v>
      </c>
      <c r="AR123" s="127">
        <f>Ejecución!AA123</f>
        <v>19321099</v>
      </c>
      <c r="AS123" s="127">
        <f>Ejecución!AD123</f>
        <v>0</v>
      </c>
      <c r="AT123" s="497" t="s">
        <v>1046</v>
      </c>
    </row>
    <row r="124" spans="1:46" s="139" customFormat="1" ht="202.5" customHeight="1" x14ac:dyDescent="0.25">
      <c r="A124" s="231" t="s">
        <v>338</v>
      </c>
      <c r="B124" s="232" t="s">
        <v>338</v>
      </c>
      <c r="C124" s="231" t="s">
        <v>507</v>
      </c>
      <c r="D124" s="143" t="s">
        <v>296</v>
      </c>
      <c r="E124" s="143" t="s">
        <v>296</v>
      </c>
      <c r="F124" s="143" t="s">
        <v>296</v>
      </c>
      <c r="G124" s="143" t="s">
        <v>296</v>
      </c>
      <c r="H124" s="140" t="s">
        <v>26</v>
      </c>
      <c r="I124" s="233" t="s">
        <v>26</v>
      </c>
      <c r="J124" s="288" t="s">
        <v>448</v>
      </c>
      <c r="K124" s="234"/>
      <c r="L124" s="235">
        <v>2900000</v>
      </c>
      <c r="M124" s="131"/>
      <c r="N124" s="304">
        <f t="shared" si="26"/>
        <v>2900000</v>
      </c>
      <c r="O124" s="132"/>
      <c r="P124" s="132"/>
      <c r="Q124" s="132"/>
      <c r="R124" s="132"/>
      <c r="S124" s="132"/>
      <c r="T124" s="132"/>
      <c r="U124" s="132"/>
      <c r="V124" s="132">
        <v>2877547</v>
      </c>
      <c r="W124" s="165"/>
      <c r="X124" s="130"/>
      <c r="Y124" s="130">
        <f>+L124+P124+S124-V124</f>
        <v>22453</v>
      </c>
      <c r="Z124" s="130"/>
      <c r="AA124" s="303">
        <f t="shared" si="30"/>
        <v>22453</v>
      </c>
      <c r="AB124" s="236" t="s">
        <v>74</v>
      </c>
      <c r="AC124" s="127" t="s">
        <v>14</v>
      </c>
      <c r="AD124" s="127" t="s">
        <v>27</v>
      </c>
      <c r="AE124" s="136">
        <v>72102103</v>
      </c>
      <c r="AF124" s="221" t="s">
        <v>421</v>
      </c>
      <c r="AG124" s="221" t="s">
        <v>421</v>
      </c>
      <c r="AH124" s="137">
        <v>8</v>
      </c>
      <c r="AI124" s="137" t="s">
        <v>503</v>
      </c>
      <c r="AJ124" s="143" t="s">
        <v>418</v>
      </c>
      <c r="AK124" s="127">
        <f>Ejecución!V124</f>
        <v>0</v>
      </c>
      <c r="AL124" s="127">
        <f>Ejecución!W124</f>
        <v>0</v>
      </c>
      <c r="AM124" s="127">
        <f>Ejecución!Y124</f>
        <v>22453</v>
      </c>
      <c r="AN124" s="127">
        <f>Ejecución!Z124</f>
        <v>0</v>
      </c>
      <c r="AO124" s="127">
        <f>Ejecución!AB124</f>
        <v>0</v>
      </c>
      <c r="AP124" s="127">
        <f>Ejecución!AC124</f>
        <v>0</v>
      </c>
      <c r="AQ124" s="127">
        <f>Ejecución!X124</f>
        <v>0</v>
      </c>
      <c r="AR124" s="127">
        <f>Ejecución!AA124</f>
        <v>0</v>
      </c>
      <c r="AS124" s="127">
        <f>Ejecución!AD124</f>
        <v>0</v>
      </c>
      <c r="AT124" s="503"/>
    </row>
    <row r="125" spans="1:46" s="139" customFormat="1" ht="409.5" x14ac:dyDescent="0.25">
      <c r="A125" s="231" t="s">
        <v>339</v>
      </c>
      <c r="B125" s="232" t="s">
        <v>339</v>
      </c>
      <c r="C125" s="231" t="s">
        <v>507</v>
      </c>
      <c r="D125" s="143" t="s">
        <v>296</v>
      </c>
      <c r="E125" s="143" t="s">
        <v>296</v>
      </c>
      <c r="F125" s="143" t="s">
        <v>296</v>
      </c>
      <c r="G125" s="143" t="s">
        <v>296</v>
      </c>
      <c r="H125" s="140" t="s">
        <v>26</v>
      </c>
      <c r="I125" s="233" t="s">
        <v>26</v>
      </c>
      <c r="J125" s="288" t="s">
        <v>449</v>
      </c>
      <c r="K125" s="234"/>
      <c r="L125" s="237">
        <f>1000000+1000000</f>
        <v>2000000</v>
      </c>
      <c r="M125" s="238"/>
      <c r="N125" s="304">
        <f t="shared" si="26"/>
        <v>2000000</v>
      </c>
      <c r="O125" s="132"/>
      <c r="P125" s="132"/>
      <c r="Q125" s="132"/>
      <c r="R125" s="132"/>
      <c r="S125" s="132"/>
      <c r="T125" s="132"/>
      <c r="U125" s="182"/>
      <c r="V125" s="182">
        <f>1916878+83122</f>
        <v>2000000</v>
      </c>
      <c r="W125" s="110"/>
      <c r="X125" s="130"/>
      <c r="Y125" s="130">
        <f>+L125+P125+S125-V125</f>
        <v>0</v>
      </c>
      <c r="Z125" s="130"/>
      <c r="AA125" s="303">
        <f t="shared" si="30"/>
        <v>0</v>
      </c>
      <c r="AB125" s="236" t="s">
        <v>74</v>
      </c>
      <c r="AC125" s="127" t="s">
        <v>14</v>
      </c>
      <c r="AD125" s="127" t="s">
        <v>27</v>
      </c>
      <c r="AE125" s="467">
        <v>76110000</v>
      </c>
      <c r="AF125" s="221" t="s">
        <v>421</v>
      </c>
      <c r="AG125" s="221" t="s">
        <v>421</v>
      </c>
      <c r="AH125" s="137">
        <v>8</v>
      </c>
      <c r="AI125" s="137" t="s">
        <v>503</v>
      </c>
      <c r="AJ125" s="143" t="s">
        <v>418</v>
      </c>
      <c r="AK125" s="127">
        <f>Ejecución!V125</f>
        <v>0</v>
      </c>
      <c r="AL125" s="127">
        <f>Ejecución!W125</f>
        <v>0</v>
      </c>
      <c r="AM125" s="127">
        <f>Ejecución!Y125</f>
        <v>0</v>
      </c>
      <c r="AN125" s="127">
        <f>Ejecución!Z125</f>
        <v>0</v>
      </c>
      <c r="AO125" s="127">
        <f>Ejecución!AB125</f>
        <v>0</v>
      </c>
      <c r="AP125" s="127">
        <f>Ejecución!AC125</f>
        <v>0</v>
      </c>
      <c r="AQ125" s="127">
        <f>Ejecución!X125</f>
        <v>0</v>
      </c>
      <c r="AR125" s="127">
        <f>Ejecución!AA125</f>
        <v>0</v>
      </c>
      <c r="AS125" s="127">
        <f>Ejecución!AD125</f>
        <v>0</v>
      </c>
      <c r="AT125" s="502" t="s">
        <v>1050</v>
      </c>
    </row>
    <row r="126" spans="1:46" s="139" customFormat="1" ht="153" x14ac:dyDescent="0.25">
      <c r="A126" s="231" t="s">
        <v>318</v>
      </c>
      <c r="B126" s="232" t="s">
        <v>318</v>
      </c>
      <c r="C126" s="231" t="s">
        <v>507</v>
      </c>
      <c r="D126" s="143" t="s">
        <v>296</v>
      </c>
      <c r="E126" s="143" t="s">
        <v>296</v>
      </c>
      <c r="F126" s="143" t="s">
        <v>296</v>
      </c>
      <c r="G126" s="144" t="s">
        <v>296</v>
      </c>
      <c r="H126" s="127" t="s">
        <v>33</v>
      </c>
      <c r="I126" s="239" t="s">
        <v>462</v>
      </c>
      <c r="J126" s="289" t="s">
        <v>426</v>
      </c>
      <c r="K126" s="234">
        <v>3301500</v>
      </c>
      <c r="L126" s="240">
        <v>927065</v>
      </c>
      <c r="M126" s="131"/>
      <c r="N126" s="304">
        <f t="shared" si="26"/>
        <v>4228565</v>
      </c>
      <c r="O126" s="132"/>
      <c r="P126" s="132"/>
      <c r="Q126" s="132"/>
      <c r="R126" s="132"/>
      <c r="S126" s="132"/>
      <c r="T126" s="132"/>
      <c r="U126" s="132">
        <v>3301500</v>
      </c>
      <c r="V126" s="132">
        <v>927065</v>
      </c>
      <c r="W126" s="165"/>
      <c r="X126" s="241">
        <f>+K126-U126</f>
        <v>0</v>
      </c>
      <c r="Y126" s="242">
        <f>+L126-V126</f>
        <v>0</v>
      </c>
      <c r="Z126" s="130"/>
      <c r="AA126" s="303">
        <f t="shared" si="30"/>
        <v>0</v>
      </c>
      <c r="AB126" s="236" t="s">
        <v>74</v>
      </c>
      <c r="AC126" s="127" t="s">
        <v>14</v>
      </c>
      <c r="AD126" s="127" t="s">
        <v>103</v>
      </c>
      <c r="AE126" s="136">
        <v>86101705</v>
      </c>
      <c r="AF126" s="221" t="s">
        <v>422</v>
      </c>
      <c r="AG126" s="221" t="s">
        <v>422</v>
      </c>
      <c r="AH126" s="467">
        <v>1</v>
      </c>
      <c r="AI126" s="137" t="s">
        <v>503</v>
      </c>
      <c r="AJ126" s="143" t="s">
        <v>418</v>
      </c>
      <c r="AK126" s="127">
        <f>Ejecución!V126</f>
        <v>0</v>
      </c>
      <c r="AL126" s="127">
        <f>Ejecución!W126</f>
        <v>0</v>
      </c>
      <c r="AM126" s="127">
        <f>Ejecución!Y126</f>
        <v>0</v>
      </c>
      <c r="AN126" s="127">
        <f>Ejecución!Z126</f>
        <v>0</v>
      </c>
      <c r="AO126" s="127">
        <f>Ejecución!AB126</f>
        <v>0</v>
      </c>
      <c r="AP126" s="127">
        <f>Ejecución!AC126</f>
        <v>0</v>
      </c>
      <c r="AQ126" s="127">
        <f>Ejecución!X126</f>
        <v>0</v>
      </c>
      <c r="AR126" s="127">
        <f>Ejecución!AA126</f>
        <v>0</v>
      </c>
      <c r="AS126" s="127">
        <f>Ejecución!AD126</f>
        <v>0</v>
      </c>
      <c r="AT126" s="502" t="s">
        <v>927</v>
      </c>
    </row>
    <row r="127" spans="1:46" s="139" customFormat="1" ht="409.5" x14ac:dyDescent="0.25">
      <c r="A127" s="467" t="s">
        <v>305</v>
      </c>
      <c r="B127" s="109" t="s">
        <v>305</v>
      </c>
      <c r="C127" s="231" t="s">
        <v>507</v>
      </c>
      <c r="D127" s="143" t="s">
        <v>296</v>
      </c>
      <c r="E127" s="143" t="s">
        <v>296</v>
      </c>
      <c r="F127" s="143" t="s">
        <v>296</v>
      </c>
      <c r="G127" s="144" t="s">
        <v>296</v>
      </c>
      <c r="H127" s="127" t="s">
        <v>33</v>
      </c>
      <c r="I127" s="127" t="s">
        <v>462</v>
      </c>
      <c r="J127" s="468" t="s">
        <v>879</v>
      </c>
      <c r="K127" s="469">
        <v>11619317</v>
      </c>
      <c r="L127" s="243">
        <v>14020502</v>
      </c>
      <c r="M127" s="238"/>
      <c r="N127" s="304">
        <f t="shared" si="26"/>
        <v>25639819</v>
      </c>
      <c r="O127" s="132"/>
      <c r="P127" s="132"/>
      <c r="Q127" s="132"/>
      <c r="R127" s="132">
        <v>3301500</v>
      </c>
      <c r="S127" s="132">
        <v>927065</v>
      </c>
      <c r="T127" s="132"/>
      <c r="U127" s="182">
        <v>4626000</v>
      </c>
      <c r="V127" s="521">
        <v>642</v>
      </c>
      <c r="W127" s="110"/>
      <c r="X127" s="244">
        <f>+K127+R127-U127</f>
        <v>10294817</v>
      </c>
      <c r="Y127" s="245">
        <f>+L127+S127-V127</f>
        <v>14946925</v>
      </c>
      <c r="Z127" s="130"/>
      <c r="AA127" s="303">
        <f t="shared" si="30"/>
        <v>25241742</v>
      </c>
      <c r="AB127" s="236" t="s">
        <v>74</v>
      </c>
      <c r="AC127" s="127" t="s">
        <v>14</v>
      </c>
      <c r="AD127" s="127" t="s">
        <v>103</v>
      </c>
      <c r="AE127" s="467">
        <v>93141506</v>
      </c>
      <c r="AF127" s="110" t="s">
        <v>423</v>
      </c>
      <c r="AG127" s="110" t="s">
        <v>423</v>
      </c>
      <c r="AH127" s="467">
        <v>4</v>
      </c>
      <c r="AI127" s="137" t="s">
        <v>503</v>
      </c>
      <c r="AJ127" s="143" t="s">
        <v>467</v>
      </c>
      <c r="AK127" s="127">
        <f>Ejecución!V127</f>
        <v>10294817</v>
      </c>
      <c r="AL127" s="127">
        <f>Ejecución!W127</f>
        <v>0</v>
      </c>
      <c r="AM127" s="127">
        <f>Ejecución!Y127</f>
        <v>14946925</v>
      </c>
      <c r="AN127" s="127">
        <f>Ejecución!Z127</f>
        <v>0</v>
      </c>
      <c r="AO127" s="127">
        <f>Ejecución!AB127</f>
        <v>0</v>
      </c>
      <c r="AP127" s="127">
        <f>Ejecución!AC127</f>
        <v>0</v>
      </c>
      <c r="AQ127" s="127">
        <f>Ejecución!X127</f>
        <v>5833250</v>
      </c>
      <c r="AR127" s="127">
        <f>Ejecución!AA127</f>
        <v>0</v>
      </c>
      <c r="AS127" s="127">
        <f>Ejecución!AD127</f>
        <v>0</v>
      </c>
      <c r="AT127" s="502" t="s">
        <v>1057</v>
      </c>
    </row>
    <row r="128" spans="1:46" ht="90" x14ac:dyDescent="0.25">
      <c r="A128" s="467" t="s">
        <v>491</v>
      </c>
      <c r="B128" s="107" t="s">
        <v>491</v>
      </c>
      <c r="C128" s="246" t="s">
        <v>495</v>
      </c>
      <c r="D128" s="143" t="s">
        <v>296</v>
      </c>
      <c r="E128" s="143" t="s">
        <v>296</v>
      </c>
      <c r="F128" s="143" t="s">
        <v>296</v>
      </c>
      <c r="G128" s="143" t="s">
        <v>296</v>
      </c>
      <c r="H128" s="127" t="s">
        <v>26</v>
      </c>
      <c r="I128" s="127" t="s">
        <v>26</v>
      </c>
      <c r="J128" s="468" t="s">
        <v>443</v>
      </c>
      <c r="K128" s="470">
        <v>36931581</v>
      </c>
      <c r="L128" s="470"/>
      <c r="M128" s="470"/>
      <c r="N128" s="304">
        <f t="shared" si="26"/>
        <v>36931581</v>
      </c>
      <c r="O128" s="132"/>
      <c r="P128" s="132"/>
      <c r="Q128" s="132"/>
      <c r="R128" s="132">
        <v>3973090</v>
      </c>
      <c r="S128" s="132"/>
      <c r="T128" s="132"/>
      <c r="U128" s="182"/>
      <c r="V128" s="182"/>
      <c r="W128" s="110"/>
      <c r="X128" s="130">
        <f>+K128+O128+R128-U128</f>
        <v>40904671</v>
      </c>
      <c r="Y128" s="182"/>
      <c r="Z128" s="130"/>
      <c r="AA128" s="303">
        <f t="shared" si="30"/>
        <v>40904671</v>
      </c>
      <c r="AB128" s="236" t="s">
        <v>74</v>
      </c>
      <c r="AC128" s="127" t="s">
        <v>14</v>
      </c>
      <c r="AD128" s="127" t="s">
        <v>27</v>
      </c>
      <c r="AE128" s="467">
        <v>76111501</v>
      </c>
      <c r="AF128" s="110" t="s">
        <v>421</v>
      </c>
      <c r="AG128" s="110" t="s">
        <v>421</v>
      </c>
      <c r="AH128" s="137">
        <v>8</v>
      </c>
      <c r="AI128" s="137" t="s">
        <v>503</v>
      </c>
      <c r="AJ128" s="143" t="s">
        <v>467</v>
      </c>
      <c r="AK128" s="127">
        <f>Ejecución!V128</f>
        <v>40904671</v>
      </c>
      <c r="AL128" s="127">
        <f>Ejecución!W128</f>
        <v>0</v>
      </c>
      <c r="AM128" s="127">
        <f>Ejecución!Y128</f>
        <v>0</v>
      </c>
      <c r="AN128" s="127">
        <f>Ejecución!Z128</f>
        <v>0</v>
      </c>
      <c r="AO128" s="127">
        <f>Ejecución!AB128</f>
        <v>0</v>
      </c>
      <c r="AP128" s="127">
        <f>Ejecución!AC128</f>
        <v>0</v>
      </c>
      <c r="AQ128" s="127">
        <f>Ejecución!X128</f>
        <v>34732620</v>
      </c>
      <c r="AR128" s="127">
        <f>Ejecución!AA128</f>
        <v>0</v>
      </c>
      <c r="AS128" s="127">
        <f>Ejecución!AD128</f>
        <v>0</v>
      </c>
      <c r="AT128" s="502" t="s">
        <v>743</v>
      </c>
    </row>
    <row r="129" spans="1:46" ht="409.5" x14ac:dyDescent="0.25">
      <c r="A129" s="467" t="s">
        <v>494</v>
      </c>
      <c r="B129" s="109" t="s">
        <v>494</v>
      </c>
      <c r="C129" s="246" t="s">
        <v>495</v>
      </c>
      <c r="D129" s="143" t="s">
        <v>296</v>
      </c>
      <c r="E129" s="143" t="s">
        <v>296</v>
      </c>
      <c r="F129" s="143" t="s">
        <v>296</v>
      </c>
      <c r="G129" s="143" t="s">
        <v>296</v>
      </c>
      <c r="H129" s="127" t="s">
        <v>26</v>
      </c>
      <c r="I129" s="127" t="s">
        <v>26</v>
      </c>
      <c r="J129" s="468" t="s">
        <v>442</v>
      </c>
      <c r="K129" s="182">
        <v>103294008</v>
      </c>
      <c r="L129" s="470"/>
      <c r="M129" s="470"/>
      <c r="N129" s="304">
        <f t="shared" si="26"/>
        <v>103294008</v>
      </c>
      <c r="O129" s="132"/>
      <c r="P129" s="132">
        <v>700000</v>
      </c>
      <c r="Q129" s="132"/>
      <c r="R129" s="132">
        <f>1921654+1100000</f>
        <v>3021654</v>
      </c>
      <c r="S129" s="132"/>
      <c r="T129" s="132"/>
      <c r="U129" s="182"/>
      <c r="V129" s="182">
        <v>208040</v>
      </c>
      <c r="W129" s="110"/>
      <c r="X129" s="130">
        <f>+K129+R129-U129</f>
        <v>106315662</v>
      </c>
      <c r="Y129" s="521">
        <f>+L129+P129+S129-V129</f>
        <v>491960</v>
      </c>
      <c r="Z129" s="130"/>
      <c r="AA129" s="303">
        <f>+Y129+Z129+X129</f>
        <v>106807622</v>
      </c>
      <c r="AB129" s="236" t="s">
        <v>74</v>
      </c>
      <c r="AC129" s="127" t="s">
        <v>14</v>
      </c>
      <c r="AD129" s="127" t="s">
        <v>27</v>
      </c>
      <c r="AE129" s="467">
        <v>92101501</v>
      </c>
      <c r="AF129" s="110" t="s">
        <v>61</v>
      </c>
      <c r="AG129" s="110" t="s">
        <v>61</v>
      </c>
      <c r="AH129" s="137">
        <v>11</v>
      </c>
      <c r="AI129" s="137" t="s">
        <v>503</v>
      </c>
      <c r="AJ129" s="143" t="s">
        <v>467</v>
      </c>
      <c r="AK129" s="127">
        <f>Ejecución!V129</f>
        <v>105633045</v>
      </c>
      <c r="AL129" s="127">
        <f>Ejecución!W129</f>
        <v>682617</v>
      </c>
      <c r="AM129" s="127">
        <f>Ejecución!Y129</f>
        <v>491960</v>
      </c>
      <c r="AN129" s="127">
        <f>Ejecución!Z129</f>
        <v>0</v>
      </c>
      <c r="AO129" s="127">
        <f>Ejecución!AB129</f>
        <v>0</v>
      </c>
      <c r="AP129" s="127">
        <f>Ejecución!AC129</f>
        <v>0</v>
      </c>
      <c r="AQ129" s="127">
        <f>Ejecución!X129</f>
        <v>91913165</v>
      </c>
      <c r="AR129" s="127">
        <f>Ejecución!AA129</f>
        <v>0</v>
      </c>
      <c r="AS129" s="127">
        <f>Ejecución!AD129</f>
        <v>0</v>
      </c>
      <c r="AT129" s="502" t="s">
        <v>1036</v>
      </c>
    </row>
    <row r="130" spans="1:46" s="139" customFormat="1" ht="178.5" x14ac:dyDescent="0.25">
      <c r="A130" s="231" t="s">
        <v>331</v>
      </c>
      <c r="B130" s="232" t="s">
        <v>331</v>
      </c>
      <c r="C130" s="246" t="s">
        <v>495</v>
      </c>
      <c r="D130" s="247" t="s">
        <v>296</v>
      </c>
      <c r="E130" s="143" t="s">
        <v>296</v>
      </c>
      <c r="F130" s="143" t="s">
        <v>296</v>
      </c>
      <c r="G130" s="143" t="s">
        <v>296</v>
      </c>
      <c r="H130" s="127" t="s">
        <v>26</v>
      </c>
      <c r="I130" s="127" t="s">
        <v>26</v>
      </c>
      <c r="J130" s="290" t="s">
        <v>457</v>
      </c>
      <c r="K130" s="187">
        <v>1100000</v>
      </c>
      <c r="L130" s="182"/>
      <c r="M130" s="166"/>
      <c r="N130" s="304">
        <f t="shared" si="26"/>
        <v>1100000</v>
      </c>
      <c r="O130" s="132"/>
      <c r="P130" s="132"/>
      <c r="Q130" s="132"/>
      <c r="R130" s="132"/>
      <c r="S130" s="132"/>
      <c r="T130" s="132"/>
      <c r="U130" s="182">
        <v>1100000</v>
      </c>
      <c r="V130" s="182"/>
      <c r="W130" s="110"/>
      <c r="X130" s="130">
        <f>+K130+R130-U130</f>
        <v>0</v>
      </c>
      <c r="Y130" s="110"/>
      <c r="Z130" s="130"/>
      <c r="AA130" s="303">
        <f t="shared" si="30"/>
        <v>0</v>
      </c>
      <c r="AB130" s="236" t="s">
        <v>74</v>
      </c>
      <c r="AC130" s="143" t="s">
        <v>308</v>
      </c>
      <c r="AD130" s="143" t="s">
        <v>296</v>
      </c>
      <c r="AE130" s="143" t="s">
        <v>296</v>
      </c>
      <c r="AF130" s="144" t="s">
        <v>296</v>
      </c>
      <c r="AG130" s="144" t="s">
        <v>296</v>
      </c>
      <c r="AH130" s="137" t="s">
        <v>296</v>
      </c>
      <c r="AI130" s="137" t="s">
        <v>296</v>
      </c>
      <c r="AJ130" s="140" t="s">
        <v>25</v>
      </c>
      <c r="AK130" s="127">
        <f>Ejecución!V130</f>
        <v>0</v>
      </c>
      <c r="AL130" s="127">
        <f>Ejecución!W130</f>
        <v>0</v>
      </c>
      <c r="AM130" s="127">
        <f>Ejecución!Y130</f>
        <v>0</v>
      </c>
      <c r="AN130" s="127">
        <f>Ejecución!Z130</f>
        <v>0</v>
      </c>
      <c r="AO130" s="127">
        <f>Ejecución!AB130</f>
        <v>0</v>
      </c>
      <c r="AP130" s="127">
        <f>Ejecución!AC130</f>
        <v>0</v>
      </c>
      <c r="AQ130" s="127">
        <f>Ejecución!X130</f>
        <v>0</v>
      </c>
      <c r="AR130" s="127">
        <f>Ejecución!AA130</f>
        <v>0</v>
      </c>
      <c r="AS130" s="127">
        <f>Ejecución!AD130</f>
        <v>0</v>
      </c>
      <c r="AT130" s="522" t="s">
        <v>837</v>
      </c>
    </row>
    <row r="131" spans="1:46" s="139" customFormat="1" ht="147.75" customHeight="1" x14ac:dyDescent="0.25">
      <c r="A131" s="248" t="s">
        <v>587</v>
      </c>
      <c r="B131" s="109" t="s">
        <v>488</v>
      </c>
      <c r="C131" s="246" t="s">
        <v>495</v>
      </c>
      <c r="D131" s="143" t="s">
        <v>296</v>
      </c>
      <c r="E131" s="143" t="s">
        <v>296</v>
      </c>
      <c r="F131" s="143" t="s">
        <v>296</v>
      </c>
      <c r="G131" s="143" t="s">
        <v>296</v>
      </c>
      <c r="H131" s="127" t="s">
        <v>26</v>
      </c>
      <c r="I131" s="127" t="s">
        <v>26</v>
      </c>
      <c r="J131" s="290" t="s">
        <v>518</v>
      </c>
      <c r="K131" s="166"/>
      <c r="L131" s="166">
        <f>2098366*11</f>
        <v>23082026</v>
      </c>
      <c r="M131" s="166"/>
      <c r="N131" s="304">
        <f t="shared" si="26"/>
        <v>23082026</v>
      </c>
      <c r="O131" s="132"/>
      <c r="P131" s="132"/>
      <c r="Q131" s="132"/>
      <c r="R131" s="132"/>
      <c r="S131" s="132"/>
      <c r="T131" s="132"/>
      <c r="U131" s="182"/>
      <c r="V131" s="182"/>
      <c r="W131" s="110"/>
      <c r="X131" s="130"/>
      <c r="Y131" s="130">
        <v>23082026</v>
      </c>
      <c r="Z131" s="130"/>
      <c r="AA131" s="303">
        <f t="shared" si="30"/>
        <v>23082026</v>
      </c>
      <c r="AB131" s="236" t="s">
        <v>74</v>
      </c>
      <c r="AC131" s="143" t="s">
        <v>14</v>
      </c>
      <c r="AD131" s="143" t="s">
        <v>27</v>
      </c>
      <c r="AE131" s="143">
        <v>80101505</v>
      </c>
      <c r="AF131" s="142" t="s">
        <v>420</v>
      </c>
      <c r="AG131" s="142" t="s">
        <v>420</v>
      </c>
      <c r="AH131" s="143" t="s">
        <v>95</v>
      </c>
      <c r="AI131" s="137" t="s">
        <v>503</v>
      </c>
      <c r="AJ131" s="140" t="s">
        <v>16</v>
      </c>
      <c r="AK131" s="127">
        <f>Ejecución!V131</f>
        <v>0</v>
      </c>
      <c r="AL131" s="127">
        <f>Ejecución!W131</f>
        <v>0</v>
      </c>
      <c r="AM131" s="127">
        <f>Ejecución!Y131</f>
        <v>23082026</v>
      </c>
      <c r="AN131" s="127">
        <f>Ejecución!Z131</f>
        <v>0</v>
      </c>
      <c r="AO131" s="127">
        <f>Ejecución!AB131</f>
        <v>0</v>
      </c>
      <c r="AP131" s="127">
        <f>Ejecución!AC131</f>
        <v>0</v>
      </c>
      <c r="AQ131" s="127">
        <f>Ejecución!X131</f>
        <v>0</v>
      </c>
      <c r="AR131" s="127">
        <f>Ejecución!AA131</f>
        <v>23082026</v>
      </c>
      <c r="AS131" s="127">
        <f>Ejecución!AD131</f>
        <v>0</v>
      </c>
      <c r="AT131" s="497"/>
    </row>
    <row r="132" spans="1:46" s="250" customFormat="1" ht="409.5" x14ac:dyDescent="0.25">
      <c r="A132" s="467" t="s">
        <v>493</v>
      </c>
      <c r="B132" s="109" t="s">
        <v>690</v>
      </c>
      <c r="C132" s="246" t="s">
        <v>495</v>
      </c>
      <c r="D132" s="143" t="s">
        <v>296</v>
      </c>
      <c r="E132" s="143" t="s">
        <v>296</v>
      </c>
      <c r="F132" s="143" t="s">
        <v>296</v>
      </c>
      <c r="G132" s="143" t="s">
        <v>296</v>
      </c>
      <c r="H132" s="127" t="s">
        <v>26</v>
      </c>
      <c r="I132" s="239" t="s">
        <v>26</v>
      </c>
      <c r="J132" s="468" t="s">
        <v>441</v>
      </c>
      <c r="K132" s="249">
        <v>21850648</v>
      </c>
      <c r="L132" s="470">
        <v>18552386</v>
      </c>
      <c r="M132" s="470"/>
      <c r="N132" s="304">
        <f t="shared" si="26"/>
        <v>40403034</v>
      </c>
      <c r="O132" s="132"/>
      <c r="P132" s="132"/>
      <c r="Q132" s="132"/>
      <c r="R132" s="132"/>
      <c r="S132" s="132"/>
      <c r="T132" s="132"/>
      <c r="U132" s="586">
        <f>2000+657800+1681600</f>
        <v>2341400</v>
      </c>
      <c r="V132" s="182">
        <f>1500000+12000000+2089848+1462538</f>
        <v>17052386</v>
      </c>
      <c r="W132" s="110"/>
      <c r="X132" s="249">
        <f>+K132-U132</f>
        <v>19509248</v>
      </c>
      <c r="Y132" s="182">
        <f>+L132+S132-V132</f>
        <v>1500000</v>
      </c>
      <c r="Z132" s="130"/>
      <c r="AA132" s="303">
        <f t="shared" si="30"/>
        <v>21009248</v>
      </c>
      <c r="AB132" s="236" t="s">
        <v>74</v>
      </c>
      <c r="AC132" s="127" t="s">
        <v>14</v>
      </c>
      <c r="AD132" s="127" t="s">
        <v>27</v>
      </c>
      <c r="AE132" s="143" t="s">
        <v>935</v>
      </c>
      <c r="AF132" s="110" t="s">
        <v>61</v>
      </c>
      <c r="AG132" s="110" t="s">
        <v>61</v>
      </c>
      <c r="AH132" s="137">
        <v>11</v>
      </c>
      <c r="AI132" s="137" t="s">
        <v>503</v>
      </c>
      <c r="AJ132" s="143" t="s">
        <v>467</v>
      </c>
      <c r="AK132" s="127">
        <f>Ejecución!V132</f>
        <v>19487693</v>
      </c>
      <c r="AL132" s="127">
        <f>Ejecución!W132</f>
        <v>21555</v>
      </c>
      <c r="AM132" s="127">
        <f>Ejecución!Y132</f>
        <v>389498</v>
      </c>
      <c r="AN132" s="127">
        <f>Ejecución!Z132</f>
        <v>1110502</v>
      </c>
      <c r="AO132" s="127">
        <f>Ejecución!AB132</f>
        <v>0</v>
      </c>
      <c r="AP132" s="127">
        <f>Ejecución!AC132</f>
        <v>0</v>
      </c>
      <c r="AQ132" s="127">
        <f>Ejecución!X132</f>
        <v>18654693</v>
      </c>
      <c r="AR132" s="127">
        <f>Ejecución!AA132</f>
        <v>389498</v>
      </c>
      <c r="AS132" s="127">
        <f>Ejecución!AD132</f>
        <v>0</v>
      </c>
      <c r="AT132" s="502" t="s">
        <v>1212</v>
      </c>
    </row>
    <row r="133" spans="1:46" s="139" customFormat="1" ht="408" x14ac:dyDescent="0.25">
      <c r="A133" s="467" t="s">
        <v>330</v>
      </c>
      <c r="B133" s="109" t="s">
        <v>330</v>
      </c>
      <c r="C133" s="246" t="s">
        <v>495</v>
      </c>
      <c r="D133" s="143" t="s">
        <v>296</v>
      </c>
      <c r="E133" s="143" t="s">
        <v>296</v>
      </c>
      <c r="F133" s="143" t="s">
        <v>296</v>
      </c>
      <c r="G133" s="143" t="s">
        <v>296</v>
      </c>
      <c r="H133" s="127" t="s">
        <v>26</v>
      </c>
      <c r="I133" s="239" t="s">
        <v>26</v>
      </c>
      <c r="J133" s="468" t="s">
        <v>444</v>
      </c>
      <c r="K133" s="249"/>
      <c r="L133" s="470">
        <v>4661205.6750000007</v>
      </c>
      <c r="M133" s="470"/>
      <c r="N133" s="304">
        <f t="shared" si="26"/>
        <v>4661205.6750000007</v>
      </c>
      <c r="O133" s="132"/>
      <c r="P133" s="132"/>
      <c r="Q133" s="132"/>
      <c r="R133" s="132"/>
      <c r="S133" s="132"/>
      <c r="T133" s="132"/>
      <c r="U133" s="182"/>
      <c r="V133" s="182">
        <f>2834744+1826462</f>
        <v>4661206</v>
      </c>
      <c r="W133" s="110"/>
      <c r="X133" s="130"/>
      <c r="Y133" s="130">
        <f>+L133-V133</f>
        <v>-0.32499999925494194</v>
      </c>
      <c r="Z133" s="130"/>
      <c r="AA133" s="303">
        <f t="shared" si="30"/>
        <v>-0.32499999925494194</v>
      </c>
      <c r="AB133" s="236" t="s">
        <v>74</v>
      </c>
      <c r="AC133" s="127" t="s">
        <v>14</v>
      </c>
      <c r="AD133" s="127" t="s">
        <v>27</v>
      </c>
      <c r="AE133" s="467"/>
      <c r="AF133" s="142" t="s">
        <v>420</v>
      </c>
      <c r="AG133" s="142" t="s">
        <v>420</v>
      </c>
      <c r="AH133" s="137">
        <v>10</v>
      </c>
      <c r="AI133" s="137" t="s">
        <v>503</v>
      </c>
      <c r="AJ133" s="143" t="s">
        <v>418</v>
      </c>
      <c r="AK133" s="127">
        <f>Ejecución!V133</f>
        <v>0</v>
      </c>
      <c r="AL133" s="127">
        <f>Ejecución!W133</f>
        <v>0</v>
      </c>
      <c r="AM133" s="127">
        <f>Ejecución!Y133</f>
        <v>0</v>
      </c>
      <c r="AN133" s="127">
        <f>Ejecución!Z133</f>
        <v>-0.32499999925494194</v>
      </c>
      <c r="AO133" s="127">
        <f>Ejecución!AB133</f>
        <v>0</v>
      </c>
      <c r="AP133" s="127">
        <f>Ejecución!AC133</f>
        <v>0</v>
      </c>
      <c r="AQ133" s="127">
        <f>Ejecución!X133</f>
        <v>0</v>
      </c>
      <c r="AR133" s="127">
        <f>Ejecución!AA133</f>
        <v>0</v>
      </c>
      <c r="AS133" s="127">
        <f>Ejecución!AD133</f>
        <v>0</v>
      </c>
      <c r="AT133" s="502" t="s">
        <v>1037</v>
      </c>
    </row>
    <row r="134" spans="1:46" s="139" customFormat="1" ht="408" x14ac:dyDescent="0.25">
      <c r="A134" s="467" t="s">
        <v>489</v>
      </c>
      <c r="B134" s="109" t="s">
        <v>489</v>
      </c>
      <c r="C134" s="246" t="s">
        <v>495</v>
      </c>
      <c r="D134" s="143" t="s">
        <v>296</v>
      </c>
      <c r="E134" s="143" t="s">
        <v>296</v>
      </c>
      <c r="F134" s="143" t="s">
        <v>296</v>
      </c>
      <c r="G134" s="143" t="s">
        <v>296</v>
      </c>
      <c r="H134" s="127" t="s">
        <v>26</v>
      </c>
      <c r="I134" s="239" t="s">
        <v>26</v>
      </c>
      <c r="J134" s="468" t="s">
        <v>445</v>
      </c>
      <c r="K134" s="249"/>
      <c r="L134" s="470">
        <v>7537598</v>
      </c>
      <c r="M134" s="470"/>
      <c r="N134" s="304">
        <f t="shared" si="26"/>
        <v>7537598</v>
      </c>
      <c r="O134" s="132"/>
      <c r="P134" s="132"/>
      <c r="Q134" s="132"/>
      <c r="R134" s="132"/>
      <c r="S134" s="132"/>
      <c r="T134" s="132"/>
      <c r="U134" s="182"/>
      <c r="V134" s="182">
        <f>896127+2641471</f>
        <v>3537598</v>
      </c>
      <c r="W134" s="110"/>
      <c r="X134" s="130"/>
      <c r="Y134" s="130">
        <f>+L134+P134+S134-V134</f>
        <v>4000000</v>
      </c>
      <c r="Z134" s="130"/>
      <c r="AA134" s="303">
        <f>+Y134+Z134+X134</f>
        <v>4000000</v>
      </c>
      <c r="AB134" s="236" t="s">
        <v>74</v>
      </c>
      <c r="AC134" s="127" t="s">
        <v>14</v>
      </c>
      <c r="AD134" s="127" t="s">
        <v>27</v>
      </c>
      <c r="AE134" s="110">
        <v>78181500</v>
      </c>
      <c r="AF134" s="142" t="s">
        <v>68</v>
      </c>
      <c r="AG134" s="142" t="s">
        <v>68</v>
      </c>
      <c r="AH134" s="137">
        <v>5</v>
      </c>
      <c r="AI134" s="137" t="s">
        <v>503</v>
      </c>
      <c r="AJ134" s="143" t="s">
        <v>418</v>
      </c>
      <c r="AK134" s="127">
        <f>Ejecución!V134</f>
        <v>0</v>
      </c>
      <c r="AL134" s="127">
        <f>Ejecución!W134</f>
        <v>0</v>
      </c>
      <c r="AM134" s="127">
        <f>Ejecución!Y134</f>
        <v>3750000</v>
      </c>
      <c r="AN134" s="127">
        <f>Ejecución!Z134</f>
        <v>250000</v>
      </c>
      <c r="AO134" s="127">
        <f>Ejecución!AB134</f>
        <v>0</v>
      </c>
      <c r="AP134" s="127">
        <f>Ejecución!AC134</f>
        <v>0</v>
      </c>
      <c r="AQ134" s="127">
        <f>Ejecución!X134</f>
        <v>0</v>
      </c>
      <c r="AR134" s="127">
        <f>Ejecución!AA134</f>
        <v>450500</v>
      </c>
      <c r="AS134" s="127">
        <f>Ejecución!AD134</f>
        <v>0</v>
      </c>
      <c r="AT134" s="502" t="s">
        <v>842</v>
      </c>
    </row>
    <row r="135" spans="1:46" s="139" customFormat="1" ht="409.6" customHeight="1" x14ac:dyDescent="0.25">
      <c r="A135" s="110" t="s">
        <v>490</v>
      </c>
      <c r="B135" s="123" t="s">
        <v>490</v>
      </c>
      <c r="C135" s="246" t="s">
        <v>495</v>
      </c>
      <c r="D135" s="143" t="s">
        <v>296</v>
      </c>
      <c r="E135" s="143" t="s">
        <v>296</v>
      </c>
      <c r="F135" s="143" t="s">
        <v>296</v>
      </c>
      <c r="G135" s="143" t="s">
        <v>296</v>
      </c>
      <c r="H135" s="127" t="s">
        <v>26</v>
      </c>
      <c r="I135" s="127" t="s">
        <v>26</v>
      </c>
      <c r="J135" s="468" t="s">
        <v>446</v>
      </c>
      <c r="K135" s="182">
        <v>17092645</v>
      </c>
      <c r="L135" s="182">
        <v>15198278</v>
      </c>
      <c r="M135" s="182"/>
      <c r="N135" s="304">
        <f t="shared" si="26"/>
        <v>32290923</v>
      </c>
      <c r="O135" s="132"/>
      <c r="P135" s="132"/>
      <c r="Q135" s="132"/>
      <c r="R135" s="132"/>
      <c r="S135" s="132"/>
      <c r="T135" s="132"/>
      <c r="U135" s="182">
        <f>11448645+5000000+644000</f>
        <v>17092645</v>
      </c>
      <c r="V135" s="182">
        <v>15198278</v>
      </c>
      <c r="W135" s="110"/>
      <c r="X135" s="130">
        <f>+K135+O135+R135-U135</f>
        <v>0</v>
      </c>
      <c r="Y135" s="130">
        <f>+L135+P135+S135-V135</f>
        <v>0</v>
      </c>
      <c r="Z135" s="130">
        <v>0</v>
      </c>
      <c r="AA135" s="303">
        <f t="shared" si="30"/>
        <v>0</v>
      </c>
      <c r="AB135" s="236" t="s">
        <v>74</v>
      </c>
      <c r="AC135" s="127" t="s">
        <v>14</v>
      </c>
      <c r="AD135" s="127" t="s">
        <v>27</v>
      </c>
      <c r="AE135" s="110">
        <v>72101506</v>
      </c>
      <c r="AF135" s="142" t="s">
        <v>420</v>
      </c>
      <c r="AG135" s="142" t="s">
        <v>420</v>
      </c>
      <c r="AH135" s="137">
        <v>10</v>
      </c>
      <c r="AI135" s="137" t="s">
        <v>503</v>
      </c>
      <c r="AJ135" s="144" t="s">
        <v>467</v>
      </c>
      <c r="AK135" s="127">
        <f>Ejecución!V135</f>
        <v>0</v>
      </c>
      <c r="AL135" s="127">
        <f>Ejecución!W135</f>
        <v>0</v>
      </c>
      <c r="AM135" s="127">
        <f>Ejecución!Y135</f>
        <v>0</v>
      </c>
      <c r="AN135" s="127">
        <f>Ejecución!Z135</f>
        <v>0</v>
      </c>
      <c r="AO135" s="127">
        <f>Ejecución!AB135</f>
        <v>0</v>
      </c>
      <c r="AP135" s="127">
        <f>Ejecución!AC135</f>
        <v>0</v>
      </c>
      <c r="AQ135" s="127">
        <f>Ejecución!X135</f>
        <v>0</v>
      </c>
      <c r="AR135" s="127">
        <f>Ejecución!AA135</f>
        <v>0</v>
      </c>
      <c r="AS135" s="127">
        <f>Ejecución!AD135</f>
        <v>0</v>
      </c>
      <c r="AT135" s="504" t="s">
        <v>788</v>
      </c>
    </row>
    <row r="136" spans="1:46" s="139" customFormat="1" ht="408" x14ac:dyDescent="0.25">
      <c r="A136" s="110"/>
      <c r="B136" s="123"/>
      <c r="C136" s="246" t="s">
        <v>495</v>
      </c>
      <c r="D136" s="143"/>
      <c r="E136" s="143"/>
      <c r="F136" s="143" t="s">
        <v>296</v>
      </c>
      <c r="G136" s="143" t="s">
        <v>296</v>
      </c>
      <c r="H136" s="127" t="s">
        <v>26</v>
      </c>
      <c r="I136" s="127" t="s">
        <v>26</v>
      </c>
      <c r="J136" s="468" t="s">
        <v>689</v>
      </c>
      <c r="K136" s="182"/>
      <c r="L136" s="182"/>
      <c r="M136" s="182"/>
      <c r="N136" s="304"/>
      <c r="O136" s="132">
        <v>5948645</v>
      </c>
      <c r="P136" s="132"/>
      <c r="Q136" s="132"/>
      <c r="R136" s="132"/>
      <c r="S136" s="132"/>
      <c r="T136" s="132"/>
      <c r="U136" s="182">
        <f>3973090+495464+740154+739937</f>
        <v>5948645</v>
      </c>
      <c r="V136" s="182"/>
      <c r="W136" s="110"/>
      <c r="X136" s="130">
        <f>+K136+O136+R136-U136</f>
        <v>0</v>
      </c>
      <c r="Y136" s="130"/>
      <c r="Z136" s="130"/>
      <c r="AA136" s="303">
        <f t="shared" si="30"/>
        <v>0</v>
      </c>
      <c r="AB136" s="236" t="s">
        <v>74</v>
      </c>
      <c r="AC136" s="127" t="s">
        <v>14</v>
      </c>
      <c r="AD136" s="127" t="s">
        <v>27</v>
      </c>
      <c r="AE136" s="110">
        <v>72101507</v>
      </c>
      <c r="AF136" s="142" t="s">
        <v>420</v>
      </c>
      <c r="AG136" s="142" t="s">
        <v>420</v>
      </c>
      <c r="AH136" s="137">
        <v>10</v>
      </c>
      <c r="AI136" s="137" t="s">
        <v>503</v>
      </c>
      <c r="AJ136" s="144" t="s">
        <v>685</v>
      </c>
      <c r="AK136" s="127">
        <f>Ejecución!V136</f>
        <v>0</v>
      </c>
      <c r="AL136" s="127">
        <f>Ejecución!W136</f>
        <v>0</v>
      </c>
      <c r="AM136" s="127">
        <f>Ejecución!Y136</f>
        <v>0</v>
      </c>
      <c r="AN136" s="127">
        <f>Ejecución!Z136</f>
        <v>0</v>
      </c>
      <c r="AO136" s="127">
        <f>Ejecución!AB136</f>
        <v>0</v>
      </c>
      <c r="AP136" s="127">
        <f>Ejecución!AC136</f>
        <v>0</v>
      </c>
      <c r="AQ136" s="127">
        <f>Ejecución!X136</f>
        <v>0</v>
      </c>
      <c r="AR136" s="127">
        <f>Ejecución!AA136</f>
        <v>0</v>
      </c>
      <c r="AS136" s="127">
        <f>Ejecución!AD136</f>
        <v>0</v>
      </c>
      <c r="AT136" s="504" t="s">
        <v>838</v>
      </c>
    </row>
    <row r="137" spans="1:46" s="139" customFormat="1" ht="331.5" x14ac:dyDescent="0.25">
      <c r="A137" s="110"/>
      <c r="B137" s="123"/>
      <c r="C137" s="246" t="s">
        <v>495</v>
      </c>
      <c r="D137" s="143"/>
      <c r="E137" s="143"/>
      <c r="F137" s="143" t="s">
        <v>296</v>
      </c>
      <c r="G137" s="143" t="s">
        <v>296</v>
      </c>
      <c r="H137" s="127" t="s">
        <v>26</v>
      </c>
      <c r="I137" s="127" t="s">
        <v>26</v>
      </c>
      <c r="J137" s="468" t="s">
        <v>688</v>
      </c>
      <c r="K137" s="182"/>
      <c r="L137" s="182"/>
      <c r="M137" s="182"/>
      <c r="N137" s="304"/>
      <c r="O137" s="132">
        <v>5500000</v>
      </c>
      <c r="P137" s="132"/>
      <c r="Q137" s="132"/>
      <c r="R137" s="132"/>
      <c r="S137" s="132"/>
      <c r="T137" s="132"/>
      <c r="U137" s="182">
        <f>1921654+3578346</f>
        <v>5500000</v>
      </c>
      <c r="V137" s="182"/>
      <c r="W137" s="110"/>
      <c r="X137" s="130">
        <f>+K137+O137+R137-U137</f>
        <v>0</v>
      </c>
      <c r="Y137" s="130"/>
      <c r="Z137" s="130"/>
      <c r="AA137" s="303">
        <f t="shared" si="30"/>
        <v>0</v>
      </c>
      <c r="AB137" s="236" t="s">
        <v>74</v>
      </c>
      <c r="AC137" s="127" t="s">
        <v>14</v>
      </c>
      <c r="AD137" s="127" t="s">
        <v>27</v>
      </c>
      <c r="AE137" s="110">
        <v>72101511</v>
      </c>
      <c r="AF137" s="142" t="s">
        <v>420</v>
      </c>
      <c r="AG137" s="142" t="s">
        <v>420</v>
      </c>
      <c r="AH137" s="137">
        <v>6</v>
      </c>
      <c r="AI137" s="137" t="s">
        <v>503</v>
      </c>
      <c r="AJ137" s="144" t="s">
        <v>685</v>
      </c>
      <c r="AK137" s="127">
        <f>Ejecución!V137</f>
        <v>0</v>
      </c>
      <c r="AL137" s="127">
        <f>Ejecución!W137</f>
        <v>0</v>
      </c>
      <c r="AM137" s="127">
        <f>Ejecución!Y137</f>
        <v>0</v>
      </c>
      <c r="AN137" s="127">
        <f>Ejecución!Z137</f>
        <v>0</v>
      </c>
      <c r="AO137" s="127">
        <f>Ejecución!AB137</f>
        <v>0</v>
      </c>
      <c r="AP137" s="127">
        <f>Ejecución!AC137</f>
        <v>0</v>
      </c>
      <c r="AQ137" s="127">
        <f>Ejecución!X137</f>
        <v>0</v>
      </c>
      <c r="AR137" s="127">
        <f>Ejecución!AA137</f>
        <v>0</v>
      </c>
      <c r="AS137" s="127">
        <f>Ejecución!AD137</f>
        <v>0</v>
      </c>
      <c r="AT137" s="504" t="s">
        <v>840</v>
      </c>
    </row>
    <row r="138" spans="1:46" s="139" customFormat="1" ht="211.5" customHeight="1" x14ac:dyDescent="0.25">
      <c r="A138" s="110"/>
      <c r="B138" s="123" t="s">
        <v>690</v>
      </c>
      <c r="C138" s="246" t="s">
        <v>495</v>
      </c>
      <c r="D138" s="143"/>
      <c r="E138" s="143"/>
      <c r="F138" s="143" t="s">
        <v>296</v>
      </c>
      <c r="G138" s="143" t="s">
        <v>296</v>
      </c>
      <c r="H138" s="127" t="s">
        <v>26</v>
      </c>
      <c r="I138" s="127" t="s">
        <v>26</v>
      </c>
      <c r="J138" s="546" t="s">
        <v>682</v>
      </c>
      <c r="K138" s="182"/>
      <c r="L138" s="182"/>
      <c r="M138" s="182"/>
      <c r="N138" s="304"/>
      <c r="O138" s="132">
        <v>232846</v>
      </c>
      <c r="P138" s="132">
        <v>9698278</v>
      </c>
      <c r="Q138" s="132"/>
      <c r="R138" s="132"/>
      <c r="S138" s="132">
        <f>3052784+2064370</f>
        <v>5117154</v>
      </c>
      <c r="T138" s="132"/>
      <c r="U138" s="182">
        <v>232846</v>
      </c>
      <c r="V138" s="182">
        <f>1421654+3500000+6117778</f>
        <v>11039432</v>
      </c>
      <c r="W138" s="110"/>
      <c r="X138" s="130">
        <f>+O138-U138</f>
        <v>0</v>
      </c>
      <c r="Y138" s="130">
        <f>+L138+P138+S138-V138</f>
        <v>3776000</v>
      </c>
      <c r="Z138" s="130"/>
      <c r="AA138" s="303">
        <f t="shared" si="30"/>
        <v>3776000</v>
      </c>
      <c r="AB138" s="236" t="s">
        <v>74</v>
      </c>
      <c r="AC138" s="127" t="s">
        <v>14</v>
      </c>
      <c r="AD138" s="127" t="s">
        <v>27</v>
      </c>
      <c r="AE138" s="110">
        <v>72101506</v>
      </c>
      <c r="AF138" s="142" t="s">
        <v>420</v>
      </c>
      <c r="AG138" s="142" t="s">
        <v>420</v>
      </c>
      <c r="AH138" s="137">
        <v>10</v>
      </c>
      <c r="AI138" s="137" t="s">
        <v>503</v>
      </c>
      <c r="AJ138" s="144" t="s">
        <v>685</v>
      </c>
      <c r="AK138" s="127">
        <f>Ejecución!V138</f>
        <v>0</v>
      </c>
      <c r="AL138" s="127">
        <f>Ejecución!W138</f>
        <v>0</v>
      </c>
      <c r="AM138" s="127">
        <f>Ejecución!Y138</f>
        <v>3280830</v>
      </c>
      <c r="AN138" s="127">
        <f>Ejecución!Z138</f>
        <v>495170</v>
      </c>
      <c r="AO138" s="127">
        <f>Ejecución!AB138</f>
        <v>0</v>
      </c>
      <c r="AP138" s="127">
        <f>Ejecución!AC138</f>
        <v>0</v>
      </c>
      <c r="AQ138" s="127">
        <f>Ejecución!X138</f>
        <v>0</v>
      </c>
      <c r="AR138" s="127">
        <f>Ejecución!AA138</f>
        <v>3280830</v>
      </c>
      <c r="AS138" s="127">
        <f>Ejecución!AD138</f>
        <v>0</v>
      </c>
      <c r="AT138" s="504" t="s">
        <v>1097</v>
      </c>
    </row>
    <row r="139" spans="1:46" s="139" customFormat="1" ht="211.5" customHeight="1" x14ac:dyDescent="0.25">
      <c r="A139" s="110"/>
      <c r="B139" s="123" t="s">
        <v>690</v>
      </c>
      <c r="C139" s="246" t="s">
        <v>495</v>
      </c>
      <c r="D139" s="143"/>
      <c r="E139" s="143"/>
      <c r="F139" s="143" t="s">
        <v>296</v>
      </c>
      <c r="G139" s="143" t="s">
        <v>296</v>
      </c>
      <c r="H139" s="127" t="s">
        <v>26</v>
      </c>
      <c r="I139" s="127" t="s">
        <v>26</v>
      </c>
      <c r="J139" s="546" t="s">
        <v>1095</v>
      </c>
      <c r="K139" s="182"/>
      <c r="L139" s="182"/>
      <c r="M139" s="182"/>
      <c r="N139" s="304"/>
      <c r="O139" s="132">
        <v>232846</v>
      </c>
      <c r="P139" s="132">
        <v>6117778</v>
      </c>
      <c r="Q139" s="132"/>
      <c r="R139" s="132"/>
      <c r="S139" s="132"/>
      <c r="T139" s="132"/>
      <c r="U139" s="182"/>
      <c r="V139" s="182"/>
      <c r="W139" s="110"/>
      <c r="X139" s="130">
        <f>+O139</f>
        <v>232846</v>
      </c>
      <c r="Y139" s="130">
        <f>+L139+P139+S139-V139</f>
        <v>6117778</v>
      </c>
      <c r="Z139" s="130"/>
      <c r="AA139" s="303">
        <f t="shared" ref="AA139" si="31">+Y139+Z139+X139</f>
        <v>6350624</v>
      </c>
      <c r="AB139" s="236" t="s">
        <v>74</v>
      </c>
      <c r="AC139" s="127" t="s">
        <v>14</v>
      </c>
      <c r="AD139" s="127" t="s">
        <v>27</v>
      </c>
      <c r="AE139" s="110">
        <v>72101506</v>
      </c>
      <c r="AF139" s="142" t="s">
        <v>1078</v>
      </c>
      <c r="AG139" s="142" t="s">
        <v>1078</v>
      </c>
      <c r="AH139" s="137">
        <v>1</v>
      </c>
      <c r="AI139" s="137" t="s">
        <v>503</v>
      </c>
      <c r="AJ139" s="144" t="s">
        <v>685</v>
      </c>
      <c r="AK139" s="127">
        <f>Ejecución!V140</f>
        <v>0</v>
      </c>
      <c r="AL139" s="127">
        <f>Ejecución!W140</f>
        <v>0</v>
      </c>
      <c r="AM139" s="127">
        <f>Ejecución!Y140</f>
        <v>893000</v>
      </c>
      <c r="AN139" s="127"/>
      <c r="AO139" s="127">
        <f>Ejecución!AB140</f>
        <v>0</v>
      </c>
      <c r="AP139" s="127">
        <f>Ejecución!AC140</f>
        <v>0</v>
      </c>
      <c r="AQ139" s="127">
        <f>Ejecución!X140</f>
        <v>0</v>
      </c>
      <c r="AR139" s="127">
        <f>Ejecución!AA140</f>
        <v>0</v>
      </c>
      <c r="AS139" s="127">
        <f>Ejecución!AD140</f>
        <v>0</v>
      </c>
      <c r="AT139" s="504" t="s">
        <v>1096</v>
      </c>
    </row>
    <row r="140" spans="1:46" s="139" customFormat="1" ht="186.75" customHeight="1" x14ac:dyDescent="0.25">
      <c r="A140" s="110"/>
      <c r="B140" s="123"/>
      <c r="C140" s="246" t="s">
        <v>495</v>
      </c>
      <c r="D140" s="143"/>
      <c r="E140" s="143"/>
      <c r="F140" s="143" t="s">
        <v>296</v>
      </c>
      <c r="G140" s="143" t="s">
        <v>296</v>
      </c>
      <c r="H140" s="127" t="s">
        <v>26</v>
      </c>
      <c r="I140" s="127" t="s">
        <v>26</v>
      </c>
      <c r="J140" s="468" t="s">
        <v>683</v>
      </c>
      <c r="K140" s="182"/>
      <c r="L140" s="182"/>
      <c r="M140" s="182"/>
      <c r="N140" s="304"/>
      <c r="O140" s="132"/>
      <c r="P140" s="132">
        <v>4000000</v>
      </c>
      <c r="Q140" s="132"/>
      <c r="R140" s="132"/>
      <c r="S140" s="132"/>
      <c r="T140" s="132"/>
      <c r="U140" s="182"/>
      <c r="V140" s="182">
        <v>1664042</v>
      </c>
      <c r="W140" s="110"/>
      <c r="X140" s="130"/>
      <c r="Y140" s="130">
        <f>+L140+P140+S140-V140</f>
        <v>2335958</v>
      </c>
      <c r="Z140" s="130"/>
      <c r="AA140" s="303">
        <f t="shared" si="30"/>
        <v>2335958</v>
      </c>
      <c r="AB140" s="236" t="s">
        <v>74</v>
      </c>
      <c r="AC140" s="127" t="s">
        <v>14</v>
      </c>
      <c r="AD140" s="127" t="s">
        <v>27</v>
      </c>
      <c r="AE140" s="110">
        <v>72101509</v>
      </c>
      <c r="AF140" s="142" t="s">
        <v>420</v>
      </c>
      <c r="AG140" s="142" t="s">
        <v>420</v>
      </c>
      <c r="AH140" s="137">
        <v>2</v>
      </c>
      <c r="AI140" s="137" t="s">
        <v>503</v>
      </c>
      <c r="AJ140" s="144" t="s">
        <v>685</v>
      </c>
      <c r="AK140" s="127">
        <f>Ejecución!V140</f>
        <v>0</v>
      </c>
      <c r="AL140" s="127">
        <f>Ejecución!W140</f>
        <v>0</v>
      </c>
      <c r="AM140" s="127">
        <f>Ejecución!Y140</f>
        <v>893000</v>
      </c>
      <c r="AN140" s="127">
        <f>Ejecución!Z140</f>
        <v>1442958</v>
      </c>
      <c r="AO140" s="127">
        <f>Ejecución!AB140</f>
        <v>0</v>
      </c>
      <c r="AP140" s="127">
        <f>Ejecución!AC140</f>
        <v>0</v>
      </c>
      <c r="AQ140" s="127">
        <f>Ejecución!X140</f>
        <v>0</v>
      </c>
      <c r="AR140" s="127">
        <f>Ejecución!AA140</f>
        <v>0</v>
      </c>
      <c r="AS140" s="127">
        <f>Ejecución!AD140</f>
        <v>0</v>
      </c>
      <c r="AT140" s="504" t="s">
        <v>1116</v>
      </c>
    </row>
    <row r="141" spans="1:46" s="139" customFormat="1" ht="127.5" x14ac:dyDescent="0.25">
      <c r="A141" s="110" t="s">
        <v>690</v>
      </c>
      <c r="B141" s="123" t="s">
        <v>690</v>
      </c>
      <c r="C141" s="246" t="s">
        <v>495</v>
      </c>
      <c r="D141" s="143"/>
      <c r="E141" s="143"/>
      <c r="F141" s="143" t="s">
        <v>296</v>
      </c>
      <c r="G141" s="143" t="s">
        <v>296</v>
      </c>
      <c r="H141" s="127" t="s">
        <v>26</v>
      </c>
      <c r="I141" s="127" t="s">
        <v>26</v>
      </c>
      <c r="J141" s="468" t="s">
        <v>684</v>
      </c>
      <c r="K141" s="182"/>
      <c r="L141" s="182"/>
      <c r="M141" s="182"/>
      <c r="N141" s="304"/>
      <c r="O141" s="132"/>
      <c r="P141" s="132">
        <v>1500000</v>
      </c>
      <c r="Q141" s="132"/>
      <c r="R141" s="132"/>
      <c r="S141" s="132"/>
      <c r="T141" s="132"/>
      <c r="U141" s="182"/>
      <c r="V141" s="182">
        <v>700000</v>
      </c>
      <c r="W141" s="110"/>
      <c r="X141" s="130"/>
      <c r="Y141" s="130">
        <f>+L141+P141+S141-V141</f>
        <v>800000</v>
      </c>
      <c r="Z141" s="130"/>
      <c r="AA141" s="303">
        <f t="shared" si="30"/>
        <v>800000</v>
      </c>
      <c r="AB141" s="236" t="s">
        <v>74</v>
      </c>
      <c r="AC141" s="127" t="s">
        <v>14</v>
      </c>
      <c r="AD141" s="127" t="s">
        <v>27</v>
      </c>
      <c r="AE141" s="110">
        <v>81141804</v>
      </c>
      <c r="AF141" s="142" t="s">
        <v>422</v>
      </c>
      <c r="AG141" s="142" t="s">
        <v>799</v>
      </c>
      <c r="AH141" s="137">
        <v>6</v>
      </c>
      <c r="AI141" s="137" t="s">
        <v>503</v>
      </c>
      <c r="AJ141" s="144" t="s">
        <v>685</v>
      </c>
      <c r="AK141" s="127">
        <f>Ejecución!V141</f>
        <v>0</v>
      </c>
      <c r="AL141" s="127">
        <f>Ejecución!W141</f>
        <v>0</v>
      </c>
      <c r="AM141" s="127">
        <f>Ejecución!Y141</f>
        <v>630000</v>
      </c>
      <c r="AN141" s="127">
        <f>Ejecución!Z141</f>
        <v>170000</v>
      </c>
      <c r="AO141" s="127">
        <f>Ejecución!AB141</f>
        <v>0</v>
      </c>
      <c r="AP141" s="127">
        <f>Ejecución!AC141</f>
        <v>0</v>
      </c>
      <c r="AQ141" s="127">
        <f>Ejecución!X141</f>
        <v>0</v>
      </c>
      <c r="AR141" s="127">
        <f>Ejecución!AA141</f>
        <v>630000</v>
      </c>
      <c r="AS141" s="127">
        <f>Ejecución!AD141</f>
        <v>0</v>
      </c>
      <c r="AT141" s="504" t="s">
        <v>839</v>
      </c>
    </row>
    <row r="142" spans="1:46" s="139" customFormat="1" ht="331.5" x14ac:dyDescent="0.25">
      <c r="A142" s="231" t="s">
        <v>337</v>
      </c>
      <c r="B142" s="232" t="s">
        <v>337</v>
      </c>
      <c r="C142" s="246" t="s">
        <v>495</v>
      </c>
      <c r="D142" s="143" t="s">
        <v>296</v>
      </c>
      <c r="E142" s="143" t="s">
        <v>296</v>
      </c>
      <c r="F142" s="143" t="s">
        <v>296</v>
      </c>
      <c r="G142" s="143" t="s">
        <v>296</v>
      </c>
      <c r="H142" s="127" t="s">
        <v>26</v>
      </c>
      <c r="I142" s="127" t="s">
        <v>26</v>
      </c>
      <c r="J142" s="288" t="s">
        <v>447</v>
      </c>
      <c r="K142" s="182"/>
      <c r="L142" s="163">
        <v>2500000</v>
      </c>
      <c r="M142" s="470"/>
      <c r="N142" s="304">
        <f t="shared" si="26"/>
        <v>2500000</v>
      </c>
      <c r="O142" s="132"/>
      <c r="P142" s="132"/>
      <c r="Q142" s="132"/>
      <c r="R142" s="132"/>
      <c r="S142" s="132"/>
      <c r="T142" s="132"/>
      <c r="U142" s="182"/>
      <c r="V142" s="182">
        <v>2500000</v>
      </c>
      <c r="W142" s="110"/>
      <c r="X142" s="130"/>
      <c r="Y142" s="130">
        <f>+L142+P142+S142-V142</f>
        <v>0</v>
      </c>
      <c r="Z142" s="130"/>
      <c r="AA142" s="303">
        <f t="shared" si="30"/>
        <v>0</v>
      </c>
      <c r="AB142" s="236" t="s">
        <v>74</v>
      </c>
      <c r="AC142" s="127" t="s">
        <v>14</v>
      </c>
      <c r="AD142" s="127" t="s">
        <v>27</v>
      </c>
      <c r="AE142" s="467"/>
      <c r="AF142" s="142" t="s">
        <v>420</v>
      </c>
      <c r="AG142" s="142" t="s">
        <v>420</v>
      </c>
      <c r="AH142" s="137">
        <v>10</v>
      </c>
      <c r="AI142" s="137" t="s">
        <v>503</v>
      </c>
      <c r="AJ142" s="143" t="s">
        <v>418</v>
      </c>
      <c r="AK142" s="127">
        <f>Ejecución!V142</f>
        <v>0</v>
      </c>
      <c r="AL142" s="127">
        <f>Ejecución!W142</f>
        <v>0</v>
      </c>
      <c r="AM142" s="127">
        <f>Ejecución!Y142</f>
        <v>0</v>
      </c>
      <c r="AN142" s="127">
        <f>Ejecución!Z142</f>
        <v>0</v>
      </c>
      <c r="AO142" s="127">
        <f>Ejecución!AB142</f>
        <v>0</v>
      </c>
      <c r="AP142" s="127">
        <f>Ejecución!AC142</f>
        <v>0</v>
      </c>
      <c r="AQ142" s="127">
        <f>Ejecución!X142</f>
        <v>0</v>
      </c>
      <c r="AR142" s="127">
        <f>Ejecución!AA142</f>
        <v>0</v>
      </c>
      <c r="AS142" s="127">
        <f>Ejecución!AD142</f>
        <v>0</v>
      </c>
      <c r="AT142" s="502" t="s">
        <v>841</v>
      </c>
    </row>
    <row r="143" spans="1:46" s="139" customFormat="1" ht="60" x14ac:dyDescent="0.25">
      <c r="A143" s="231" t="s">
        <v>501</v>
      </c>
      <c r="B143" s="232" t="s">
        <v>501</v>
      </c>
      <c r="C143" s="246" t="s">
        <v>495</v>
      </c>
      <c r="D143" s="247" t="s">
        <v>296</v>
      </c>
      <c r="E143" s="143" t="s">
        <v>296</v>
      </c>
      <c r="F143" s="143" t="s">
        <v>296</v>
      </c>
      <c r="G143" s="143" t="s">
        <v>296</v>
      </c>
      <c r="H143" s="140" t="s">
        <v>26</v>
      </c>
      <c r="I143" s="140" t="s">
        <v>26</v>
      </c>
      <c r="J143" s="290" t="s">
        <v>454</v>
      </c>
      <c r="K143" s="251">
        <v>3300000</v>
      </c>
      <c r="L143" s="470"/>
      <c r="M143" s="470"/>
      <c r="N143" s="304">
        <f t="shared" si="26"/>
        <v>3300000</v>
      </c>
      <c r="O143" s="132"/>
      <c r="P143" s="132"/>
      <c r="Q143" s="132"/>
      <c r="R143" s="132"/>
      <c r="S143" s="132"/>
      <c r="T143" s="132"/>
      <c r="U143" s="182"/>
      <c r="V143" s="182"/>
      <c r="W143" s="110"/>
      <c r="X143" s="130">
        <v>3300000</v>
      </c>
      <c r="Y143" s="110"/>
      <c r="Z143" s="130"/>
      <c r="AA143" s="303">
        <f t="shared" si="30"/>
        <v>3300000</v>
      </c>
      <c r="AB143" s="236" t="s">
        <v>74</v>
      </c>
      <c r="AC143" s="143" t="s">
        <v>308</v>
      </c>
      <c r="AD143" s="143" t="s">
        <v>296</v>
      </c>
      <c r="AE143" s="143" t="s">
        <v>296</v>
      </c>
      <c r="AF143" s="144" t="s">
        <v>296</v>
      </c>
      <c r="AG143" s="144" t="s">
        <v>296</v>
      </c>
      <c r="AH143" s="137" t="s">
        <v>296</v>
      </c>
      <c r="AI143" s="137" t="s">
        <v>296</v>
      </c>
      <c r="AJ143" s="140" t="s">
        <v>25</v>
      </c>
      <c r="AK143" s="127">
        <f>Ejecución!V143</f>
        <v>1437506</v>
      </c>
      <c r="AL143" s="127">
        <f>Ejecución!W143</f>
        <v>1862494</v>
      </c>
      <c r="AM143" s="127">
        <f>Ejecución!Y143</f>
        <v>0</v>
      </c>
      <c r="AN143" s="127">
        <f>Ejecución!Z143</f>
        <v>0</v>
      </c>
      <c r="AO143" s="127">
        <f>Ejecución!AB143</f>
        <v>0</v>
      </c>
      <c r="AP143" s="127">
        <f>Ejecución!AC143</f>
        <v>0</v>
      </c>
      <c r="AQ143" s="127">
        <f>Ejecución!X143</f>
        <v>1437506</v>
      </c>
      <c r="AR143" s="127">
        <f>Ejecución!AA143</f>
        <v>0</v>
      </c>
      <c r="AS143" s="127">
        <f>Ejecución!AD143</f>
        <v>0</v>
      </c>
      <c r="AT143" s="512"/>
    </row>
    <row r="144" spans="1:46" s="139" customFormat="1" ht="66" x14ac:dyDescent="0.25">
      <c r="A144" s="231" t="s">
        <v>392</v>
      </c>
      <c r="B144" s="232" t="s">
        <v>392</v>
      </c>
      <c r="C144" s="246" t="s">
        <v>495</v>
      </c>
      <c r="D144" s="247" t="s">
        <v>296</v>
      </c>
      <c r="E144" s="143" t="s">
        <v>296</v>
      </c>
      <c r="F144" s="143" t="s">
        <v>296</v>
      </c>
      <c r="G144" s="143" t="s">
        <v>296</v>
      </c>
      <c r="H144" s="140" t="s">
        <v>26</v>
      </c>
      <c r="I144" s="233" t="s">
        <v>26</v>
      </c>
      <c r="J144" s="290" t="s">
        <v>455</v>
      </c>
      <c r="K144" s="252">
        <v>2750000</v>
      </c>
      <c r="L144" s="470"/>
      <c r="M144" s="470"/>
      <c r="N144" s="304">
        <f t="shared" si="26"/>
        <v>2750000</v>
      </c>
      <c r="O144" s="132"/>
      <c r="P144" s="132"/>
      <c r="Q144" s="132"/>
      <c r="R144" s="132"/>
      <c r="S144" s="132"/>
      <c r="T144" s="132"/>
      <c r="U144" s="182"/>
      <c r="V144" s="182"/>
      <c r="W144" s="110"/>
      <c r="X144" s="130">
        <v>2750000</v>
      </c>
      <c r="Y144" s="110"/>
      <c r="Z144" s="130"/>
      <c r="AA144" s="303">
        <f t="shared" si="30"/>
        <v>2750000</v>
      </c>
      <c r="AB144" s="236" t="s">
        <v>74</v>
      </c>
      <c r="AC144" s="143" t="s">
        <v>308</v>
      </c>
      <c r="AD144" s="143" t="s">
        <v>296</v>
      </c>
      <c r="AE144" s="143" t="s">
        <v>296</v>
      </c>
      <c r="AF144" s="144" t="s">
        <v>296</v>
      </c>
      <c r="AG144" s="144" t="s">
        <v>296</v>
      </c>
      <c r="AH144" s="137" t="s">
        <v>296</v>
      </c>
      <c r="AI144" s="137" t="s">
        <v>296</v>
      </c>
      <c r="AJ144" s="140" t="s">
        <v>25</v>
      </c>
      <c r="AK144" s="127">
        <f>Ejecución!V144</f>
        <v>2438741</v>
      </c>
      <c r="AL144" s="127">
        <f>Ejecución!W144</f>
        <v>311259</v>
      </c>
      <c r="AM144" s="127">
        <f>Ejecución!Y144</f>
        <v>0</v>
      </c>
      <c r="AN144" s="127">
        <f>Ejecución!Z144</f>
        <v>0</v>
      </c>
      <c r="AO144" s="127">
        <f>Ejecución!AB144</f>
        <v>0</v>
      </c>
      <c r="AP144" s="127">
        <f>Ejecución!AC144</f>
        <v>0</v>
      </c>
      <c r="AQ144" s="127">
        <f>Ejecución!X144</f>
        <v>2438741</v>
      </c>
      <c r="AR144" s="127">
        <f>Ejecución!AA144</f>
        <v>0</v>
      </c>
      <c r="AS144" s="127">
        <f>Ejecución!AD144</f>
        <v>0</v>
      </c>
      <c r="AT144" s="467"/>
    </row>
    <row r="145" spans="1:46" s="139" customFormat="1" ht="103.5" customHeight="1" x14ac:dyDescent="0.25">
      <c r="A145" s="231" t="s">
        <v>331</v>
      </c>
      <c r="B145" s="232" t="s">
        <v>331</v>
      </c>
      <c r="C145" s="246" t="s">
        <v>495</v>
      </c>
      <c r="D145" s="247" t="s">
        <v>296</v>
      </c>
      <c r="E145" s="143" t="s">
        <v>296</v>
      </c>
      <c r="F145" s="143" t="s">
        <v>296</v>
      </c>
      <c r="G145" s="143" t="s">
        <v>296</v>
      </c>
      <c r="H145" s="140" t="s">
        <v>26</v>
      </c>
      <c r="I145" s="233" t="s">
        <v>26</v>
      </c>
      <c r="J145" s="290" t="s">
        <v>307</v>
      </c>
      <c r="K145" s="252">
        <v>550000</v>
      </c>
      <c r="L145" s="470"/>
      <c r="M145" s="470"/>
      <c r="N145" s="304">
        <f t="shared" si="26"/>
        <v>550000</v>
      </c>
      <c r="O145" s="132"/>
      <c r="P145" s="132"/>
      <c r="Q145" s="132"/>
      <c r="R145" s="132"/>
      <c r="S145" s="132"/>
      <c r="T145" s="132"/>
      <c r="U145" s="182">
        <v>232846</v>
      </c>
      <c r="V145" s="182"/>
      <c r="W145" s="110"/>
      <c r="X145" s="130">
        <f>+N145-U145</f>
        <v>317154</v>
      </c>
      <c r="Y145" s="110"/>
      <c r="Z145" s="130"/>
      <c r="AA145" s="303">
        <f t="shared" si="30"/>
        <v>317154</v>
      </c>
      <c r="AB145" s="236" t="s">
        <v>74</v>
      </c>
      <c r="AC145" s="143" t="s">
        <v>308</v>
      </c>
      <c r="AD145" s="143" t="s">
        <v>296</v>
      </c>
      <c r="AE145" s="143" t="s">
        <v>296</v>
      </c>
      <c r="AF145" s="144" t="s">
        <v>296</v>
      </c>
      <c r="AG145" s="144" t="s">
        <v>296</v>
      </c>
      <c r="AH145" s="137" t="s">
        <v>296</v>
      </c>
      <c r="AI145" s="137" t="s">
        <v>296</v>
      </c>
      <c r="AJ145" s="140" t="s">
        <v>25</v>
      </c>
      <c r="AK145" s="127">
        <f>Ejecución!V145</f>
        <v>117154</v>
      </c>
      <c r="AL145" s="127">
        <f>Ejecución!W145</f>
        <v>200000</v>
      </c>
      <c r="AM145" s="127">
        <f>Ejecución!Y145</f>
        <v>0</v>
      </c>
      <c r="AN145" s="127">
        <f>Ejecución!Z145</f>
        <v>0</v>
      </c>
      <c r="AO145" s="127">
        <f>Ejecución!AB145</f>
        <v>0</v>
      </c>
      <c r="AP145" s="127">
        <f>Ejecución!AC145</f>
        <v>0</v>
      </c>
      <c r="AQ145" s="127">
        <f>Ejecución!X145</f>
        <v>117154</v>
      </c>
      <c r="AR145" s="127">
        <f>Ejecución!AA145</f>
        <v>0</v>
      </c>
      <c r="AS145" s="127">
        <f>Ejecución!AD145</f>
        <v>0</v>
      </c>
      <c r="AT145" s="527" t="s">
        <v>1058</v>
      </c>
    </row>
    <row r="146" spans="1:46" s="139" customFormat="1" ht="122.25" customHeight="1" x14ac:dyDescent="0.25">
      <c r="A146" s="248" t="s">
        <v>587</v>
      </c>
      <c r="B146" s="232" t="s">
        <v>331</v>
      </c>
      <c r="C146" s="246" t="s">
        <v>495</v>
      </c>
      <c r="D146" s="143" t="s">
        <v>296</v>
      </c>
      <c r="E146" s="143" t="s">
        <v>296</v>
      </c>
      <c r="F146" s="143" t="s">
        <v>296</v>
      </c>
      <c r="G146" s="143" t="s">
        <v>296</v>
      </c>
      <c r="H146" s="127" t="s">
        <v>26</v>
      </c>
      <c r="I146" s="127" t="s">
        <v>26</v>
      </c>
      <c r="J146" s="291" t="s">
        <v>306</v>
      </c>
      <c r="K146" s="166"/>
      <c r="L146" s="187">
        <v>3515587</v>
      </c>
      <c r="M146" s="166"/>
      <c r="N146" s="304">
        <f t="shared" si="26"/>
        <v>3515587</v>
      </c>
      <c r="O146" s="132"/>
      <c r="P146" s="132"/>
      <c r="Q146" s="132"/>
      <c r="R146" s="132"/>
      <c r="S146" s="132">
        <v>2089848</v>
      </c>
      <c r="T146" s="132"/>
      <c r="U146" s="187"/>
      <c r="V146" s="187"/>
      <c r="W146" s="110"/>
      <c r="X146" s="130"/>
      <c r="Y146" s="130">
        <f>+L146+S146</f>
        <v>5605435</v>
      </c>
      <c r="Z146" s="130"/>
      <c r="AA146" s="303">
        <f t="shared" si="30"/>
        <v>5605435</v>
      </c>
      <c r="AB146" s="236" t="s">
        <v>74</v>
      </c>
      <c r="AC146" s="143" t="s">
        <v>14</v>
      </c>
      <c r="AD146" s="143" t="s">
        <v>31</v>
      </c>
      <c r="AE146" s="143">
        <v>80101505</v>
      </c>
      <c r="AF146" s="142" t="s">
        <v>420</v>
      </c>
      <c r="AG146" s="142" t="s">
        <v>420</v>
      </c>
      <c r="AH146" s="143" t="s">
        <v>87</v>
      </c>
      <c r="AI146" s="253" t="s">
        <v>503</v>
      </c>
      <c r="AJ146" s="254" t="s">
        <v>16</v>
      </c>
      <c r="AK146" s="127">
        <f>Ejecución!V146</f>
        <v>0</v>
      </c>
      <c r="AL146" s="127">
        <f>Ejecución!W146</f>
        <v>0</v>
      </c>
      <c r="AM146" s="127">
        <f>Ejecución!Y146</f>
        <v>4347609</v>
      </c>
      <c r="AN146" s="127">
        <f>Ejecución!Z146</f>
        <v>1257826</v>
      </c>
      <c r="AO146" s="127">
        <f>Ejecución!AB146</f>
        <v>0</v>
      </c>
      <c r="AP146" s="127">
        <f>Ejecución!AC146</f>
        <v>0</v>
      </c>
      <c r="AQ146" s="127">
        <f>Ejecución!X146</f>
        <v>0</v>
      </c>
      <c r="AR146" s="127">
        <f>Ejecución!AA146</f>
        <v>3726522</v>
      </c>
      <c r="AS146" s="127">
        <f>Ejecución!AD146</f>
        <v>0</v>
      </c>
      <c r="AT146" s="497" t="s">
        <v>1034</v>
      </c>
    </row>
    <row r="147" spans="1:46" ht="90" x14ac:dyDescent="0.25">
      <c r="A147" s="248" t="s">
        <v>590</v>
      </c>
      <c r="B147" s="109" t="s">
        <v>492</v>
      </c>
      <c r="C147" s="246" t="s">
        <v>495</v>
      </c>
      <c r="D147" s="143" t="s">
        <v>296</v>
      </c>
      <c r="E147" s="143" t="s">
        <v>296</v>
      </c>
      <c r="F147" s="143" t="s">
        <v>296</v>
      </c>
      <c r="G147" s="143" t="s">
        <v>296</v>
      </c>
      <c r="H147" s="127" t="s">
        <v>26</v>
      </c>
      <c r="I147" s="127" t="s">
        <v>26</v>
      </c>
      <c r="J147" s="290" t="s">
        <v>430</v>
      </c>
      <c r="K147" s="187">
        <v>22093500</v>
      </c>
      <c r="L147" s="470">
        <v>12903000</v>
      </c>
      <c r="M147" s="166"/>
      <c r="N147" s="304">
        <f t="shared" si="26"/>
        <v>34996500</v>
      </c>
      <c r="O147" s="132"/>
      <c r="P147" s="132"/>
      <c r="Q147" s="132"/>
      <c r="R147" s="132"/>
      <c r="S147" s="132"/>
      <c r="T147" s="132"/>
      <c r="U147" s="182"/>
      <c r="V147" s="182"/>
      <c r="W147" s="110"/>
      <c r="X147" s="187">
        <v>22093500</v>
      </c>
      <c r="Y147" s="182">
        <v>12903000</v>
      </c>
      <c r="Z147" s="130"/>
      <c r="AA147" s="303">
        <f t="shared" si="30"/>
        <v>34996500</v>
      </c>
      <c r="AB147" s="236" t="s">
        <v>74</v>
      </c>
      <c r="AC147" s="143" t="s">
        <v>14</v>
      </c>
      <c r="AD147" s="143" t="s">
        <v>31</v>
      </c>
      <c r="AE147" s="143">
        <v>80101505</v>
      </c>
      <c r="AF147" s="144" t="s">
        <v>61</v>
      </c>
      <c r="AG147" s="144" t="s">
        <v>61</v>
      </c>
      <c r="AH147" s="143" t="s">
        <v>95</v>
      </c>
      <c r="AI147" s="137" t="s">
        <v>503</v>
      </c>
      <c r="AJ147" s="140" t="s">
        <v>16</v>
      </c>
      <c r="AK147" s="127">
        <f>Ejecución!V147</f>
        <v>22093500</v>
      </c>
      <c r="AL147" s="127">
        <f>Ejecución!W147</f>
        <v>0</v>
      </c>
      <c r="AM147" s="127">
        <f>Ejecución!Y147</f>
        <v>12903000</v>
      </c>
      <c r="AN147" s="127">
        <f>Ejecución!Z147</f>
        <v>0</v>
      </c>
      <c r="AO147" s="127">
        <f>Ejecución!AB147</f>
        <v>0</v>
      </c>
      <c r="AP147" s="127">
        <f>Ejecución!AC147</f>
        <v>0</v>
      </c>
      <c r="AQ147" s="127">
        <f>Ejecución!X147</f>
        <v>22093500</v>
      </c>
      <c r="AR147" s="127">
        <f>Ejecución!AA147</f>
        <v>12903000</v>
      </c>
      <c r="AS147" s="127">
        <f>Ejecución!AD147</f>
        <v>0</v>
      </c>
      <c r="AT147" s="497"/>
    </row>
    <row r="148" spans="1:46" s="475" customFormat="1" ht="382.5" x14ac:dyDescent="0.25">
      <c r="A148" s="467" t="s">
        <v>488</v>
      </c>
      <c r="B148" s="109" t="s">
        <v>488</v>
      </c>
      <c r="C148" s="246" t="s">
        <v>495</v>
      </c>
      <c r="D148" s="143" t="s">
        <v>296</v>
      </c>
      <c r="E148" s="143" t="s">
        <v>296</v>
      </c>
      <c r="F148" s="143" t="s">
        <v>296</v>
      </c>
      <c r="G148" s="143" t="s">
        <v>296</v>
      </c>
      <c r="H148" s="127" t="s">
        <v>26</v>
      </c>
      <c r="I148" s="127" t="s">
        <v>26</v>
      </c>
      <c r="J148" s="292" t="s">
        <v>517</v>
      </c>
      <c r="K148" s="187">
        <v>10519500</v>
      </c>
      <c r="L148" s="187">
        <v>24337092</v>
      </c>
      <c r="M148" s="166"/>
      <c r="N148" s="304">
        <f t="shared" si="26"/>
        <v>34856592</v>
      </c>
      <c r="O148" s="132"/>
      <c r="P148" s="132"/>
      <c r="Q148" s="132"/>
      <c r="R148" s="132"/>
      <c r="S148" s="132">
        <v>1500000</v>
      </c>
      <c r="T148" s="132"/>
      <c r="U148" s="187"/>
      <c r="V148" s="182">
        <v>6874495</v>
      </c>
      <c r="W148" s="110"/>
      <c r="X148" s="187">
        <v>10519500</v>
      </c>
      <c r="Y148" s="187">
        <f>+L148+P148+S148-V148</f>
        <v>18962597</v>
      </c>
      <c r="Z148" s="130"/>
      <c r="AA148" s="303">
        <f t="shared" si="30"/>
        <v>29482097</v>
      </c>
      <c r="AB148" s="236" t="s">
        <v>74</v>
      </c>
      <c r="AC148" s="143" t="s">
        <v>14</v>
      </c>
      <c r="AD148" s="143" t="s">
        <v>27</v>
      </c>
      <c r="AE148" s="143">
        <v>80101505</v>
      </c>
      <c r="AF148" s="144" t="s">
        <v>420</v>
      </c>
      <c r="AG148" s="144" t="s">
        <v>420</v>
      </c>
      <c r="AH148" s="143" t="s">
        <v>96</v>
      </c>
      <c r="AI148" s="253" t="s">
        <v>503</v>
      </c>
      <c r="AJ148" s="254" t="s">
        <v>16</v>
      </c>
      <c r="AK148" s="127">
        <f>Ejecución!V148</f>
        <v>10519500</v>
      </c>
      <c r="AL148" s="127">
        <f>Ejecución!W148</f>
        <v>0</v>
      </c>
      <c r="AM148" s="127">
        <f>Ejecución!Y148</f>
        <v>18962597</v>
      </c>
      <c r="AN148" s="127">
        <f>Ejecución!Z148</f>
        <v>0</v>
      </c>
      <c r="AO148" s="127">
        <f>Ejecución!AB148</f>
        <v>0</v>
      </c>
      <c r="AP148" s="127">
        <f>Ejecución!AC148</f>
        <v>0</v>
      </c>
      <c r="AQ148" s="127">
        <f>Ejecución!X148</f>
        <v>10519500</v>
      </c>
      <c r="AR148" s="127">
        <f>Ejecución!AA148</f>
        <v>18962597</v>
      </c>
      <c r="AS148" s="127">
        <f>Ejecución!AD148</f>
        <v>0</v>
      </c>
      <c r="AT148" s="497" t="s">
        <v>861</v>
      </c>
    </row>
    <row r="149" spans="1:46" s="139" customFormat="1" ht="409.5" x14ac:dyDescent="0.25">
      <c r="A149" s="112" t="s">
        <v>589</v>
      </c>
      <c r="B149" s="109" t="s">
        <v>488</v>
      </c>
      <c r="C149" s="246" t="s">
        <v>495</v>
      </c>
      <c r="D149" s="143" t="s">
        <v>296</v>
      </c>
      <c r="E149" s="143" t="s">
        <v>296</v>
      </c>
      <c r="F149" s="143" t="s">
        <v>296</v>
      </c>
      <c r="G149" s="144" t="s">
        <v>296</v>
      </c>
      <c r="H149" s="127" t="s">
        <v>314</v>
      </c>
      <c r="I149" s="127" t="s">
        <v>314</v>
      </c>
      <c r="J149" s="289" t="s">
        <v>315</v>
      </c>
      <c r="K149" s="182"/>
      <c r="L149" s="182">
        <f>3000000*11</f>
        <v>33000000</v>
      </c>
      <c r="M149" s="182"/>
      <c r="N149" s="304">
        <f t="shared" si="26"/>
        <v>33000000</v>
      </c>
      <c r="O149" s="132">
        <v>657800</v>
      </c>
      <c r="P149" s="132"/>
      <c r="Q149" s="132"/>
      <c r="R149" s="132"/>
      <c r="S149" s="132">
        <f>1462538+1826462</f>
        <v>3289000</v>
      </c>
      <c r="T149" s="132"/>
      <c r="U149" s="182"/>
      <c r="V149" s="182">
        <v>110000</v>
      </c>
      <c r="W149" s="110"/>
      <c r="X149" s="130">
        <f>+O149</f>
        <v>657800</v>
      </c>
      <c r="Y149" s="130">
        <f>+L149+P149+S149-V149</f>
        <v>36179000</v>
      </c>
      <c r="Z149" s="130"/>
      <c r="AA149" s="303">
        <f>+Y149+Z149+X149</f>
        <v>36836800</v>
      </c>
      <c r="AB149" s="236" t="s">
        <v>74</v>
      </c>
      <c r="AC149" s="127" t="s">
        <v>14</v>
      </c>
      <c r="AD149" s="127" t="s">
        <v>316</v>
      </c>
      <c r="AE149" s="136">
        <v>80101505</v>
      </c>
      <c r="AF149" s="110" t="s">
        <v>61</v>
      </c>
      <c r="AG149" s="110" t="s">
        <v>61</v>
      </c>
      <c r="AH149" s="137">
        <v>11</v>
      </c>
      <c r="AI149" s="137" t="s">
        <v>503</v>
      </c>
      <c r="AJ149" s="127" t="s">
        <v>16</v>
      </c>
      <c r="AK149" s="127">
        <f>Ejecución!V149</f>
        <v>657800</v>
      </c>
      <c r="AL149" s="127">
        <f>Ejecución!W149</f>
        <v>0</v>
      </c>
      <c r="AM149" s="127">
        <f>Ejecución!Y149</f>
        <v>36179000</v>
      </c>
      <c r="AN149" s="127">
        <f>Ejecución!Z149</f>
        <v>0</v>
      </c>
      <c r="AO149" s="127">
        <f>Ejecución!AB149</f>
        <v>0</v>
      </c>
      <c r="AP149" s="127">
        <f>Ejecución!AC149</f>
        <v>0</v>
      </c>
      <c r="AQ149" s="127">
        <f>Ejecución!X149</f>
        <v>657800</v>
      </c>
      <c r="AR149" s="127">
        <f>Ejecución!AA149</f>
        <v>36179000</v>
      </c>
      <c r="AS149" s="127">
        <f>Ejecución!AD149</f>
        <v>0</v>
      </c>
      <c r="AT149" s="502" t="s">
        <v>1038</v>
      </c>
    </row>
    <row r="150" spans="1:46" s="139" customFormat="1" ht="99" x14ac:dyDescent="0.25">
      <c r="A150" s="231" t="s">
        <v>330</v>
      </c>
      <c r="B150" s="232" t="s">
        <v>330</v>
      </c>
      <c r="C150" s="246" t="s">
        <v>495</v>
      </c>
      <c r="D150" s="143" t="s">
        <v>296</v>
      </c>
      <c r="E150" s="143" t="s">
        <v>296</v>
      </c>
      <c r="F150" s="143" t="s">
        <v>296</v>
      </c>
      <c r="G150" s="143" t="s">
        <v>296</v>
      </c>
      <c r="H150" s="127" t="s">
        <v>17</v>
      </c>
      <c r="I150" s="127" t="s">
        <v>17</v>
      </c>
      <c r="J150" s="289" t="s">
        <v>312</v>
      </c>
      <c r="K150" s="132">
        <v>7500000</v>
      </c>
      <c r="L150" s="166"/>
      <c r="M150" s="166"/>
      <c r="N150" s="304">
        <f t="shared" si="26"/>
        <v>7500000</v>
      </c>
      <c r="O150" s="132"/>
      <c r="P150" s="132"/>
      <c r="Q150" s="132"/>
      <c r="R150" s="132"/>
      <c r="S150" s="132"/>
      <c r="T150" s="132"/>
      <c r="U150" s="132"/>
      <c r="V150" s="132"/>
      <c r="W150" s="188"/>
      <c r="X150" s="130">
        <v>7500000</v>
      </c>
      <c r="Z150" s="130"/>
      <c r="AA150" s="303">
        <f t="shared" si="30"/>
        <v>7500000</v>
      </c>
      <c r="AB150" s="236" t="s">
        <v>74</v>
      </c>
      <c r="AC150" s="127" t="s">
        <v>14</v>
      </c>
      <c r="AD150" s="127" t="s">
        <v>19</v>
      </c>
      <c r="AE150" s="136">
        <v>72101507</v>
      </c>
      <c r="AF150" s="142" t="s">
        <v>703</v>
      </c>
      <c r="AG150" s="142" t="s">
        <v>703</v>
      </c>
      <c r="AH150" s="136" t="s">
        <v>713</v>
      </c>
      <c r="AI150" s="137" t="s">
        <v>503</v>
      </c>
      <c r="AJ150" s="127" t="s">
        <v>20</v>
      </c>
      <c r="AK150" s="127">
        <f>Ejecución!V150</f>
        <v>7500000</v>
      </c>
      <c r="AL150" s="127">
        <f>Ejecución!W150</f>
        <v>0</v>
      </c>
      <c r="AM150" s="127">
        <f>Ejecución!Y150</f>
        <v>0</v>
      </c>
      <c r="AN150" s="127">
        <f>Ejecución!Z150</f>
        <v>0</v>
      </c>
      <c r="AO150" s="127">
        <f>Ejecución!AB150</f>
        <v>0</v>
      </c>
      <c r="AP150" s="127">
        <f>Ejecución!AC150</f>
        <v>0</v>
      </c>
      <c r="AQ150" s="127">
        <f>Ejecución!X150</f>
        <v>7265342</v>
      </c>
      <c r="AR150" s="127">
        <f>Ejecución!AA150</f>
        <v>0</v>
      </c>
      <c r="AS150" s="127">
        <f>Ejecución!AD150</f>
        <v>0</v>
      </c>
      <c r="AT150" s="503"/>
    </row>
    <row r="151" spans="1:46" s="139" customFormat="1" ht="90" x14ac:dyDescent="0.25">
      <c r="A151" s="231" t="s">
        <v>330</v>
      </c>
      <c r="B151" s="232" t="s">
        <v>330</v>
      </c>
      <c r="C151" s="246" t="s">
        <v>495</v>
      </c>
      <c r="D151" s="143" t="s">
        <v>296</v>
      </c>
      <c r="E151" s="143" t="s">
        <v>296</v>
      </c>
      <c r="F151" s="143" t="s">
        <v>296</v>
      </c>
      <c r="G151" s="143" t="s">
        <v>296</v>
      </c>
      <c r="H151" s="127" t="s">
        <v>17</v>
      </c>
      <c r="I151" s="127" t="s">
        <v>17</v>
      </c>
      <c r="J151" s="289" t="s">
        <v>313</v>
      </c>
      <c r="K151" s="132">
        <v>7000000</v>
      </c>
      <c r="L151" s="166"/>
      <c r="M151" s="166"/>
      <c r="N151" s="304">
        <f t="shared" si="26"/>
        <v>7000000</v>
      </c>
      <c r="O151" s="132"/>
      <c r="P151" s="132"/>
      <c r="Q151" s="132"/>
      <c r="R151" s="132"/>
      <c r="S151" s="132"/>
      <c r="T151" s="132"/>
      <c r="U151" s="132"/>
      <c r="V151" s="132"/>
      <c r="W151" s="188"/>
      <c r="X151" s="130">
        <v>7000000</v>
      </c>
      <c r="Z151" s="130"/>
      <c r="AA151" s="303">
        <f t="shared" si="30"/>
        <v>7000000</v>
      </c>
      <c r="AB151" s="236" t="s">
        <v>74</v>
      </c>
      <c r="AC151" s="127" t="s">
        <v>21</v>
      </c>
      <c r="AD151" s="127" t="s">
        <v>19</v>
      </c>
      <c r="AE151" s="136">
        <v>44103100</v>
      </c>
      <c r="AF151" s="142" t="s">
        <v>703</v>
      </c>
      <c r="AG151" s="142" t="s">
        <v>703</v>
      </c>
      <c r="AH151" s="136" t="s">
        <v>713</v>
      </c>
      <c r="AI151" s="137" t="s">
        <v>503</v>
      </c>
      <c r="AJ151" s="127" t="s">
        <v>20</v>
      </c>
      <c r="AK151" s="127">
        <f>Ejecución!V151</f>
        <v>7000000</v>
      </c>
      <c r="AL151" s="127">
        <f>Ejecución!W151</f>
        <v>0</v>
      </c>
      <c r="AM151" s="127">
        <f>Ejecución!Y151</f>
        <v>0</v>
      </c>
      <c r="AN151" s="127">
        <f>Ejecución!Z151</f>
        <v>0</v>
      </c>
      <c r="AO151" s="127">
        <f>Ejecución!AB151</f>
        <v>0</v>
      </c>
      <c r="AP151" s="127">
        <f>Ejecución!AC151</f>
        <v>0</v>
      </c>
      <c r="AQ151" s="127">
        <f>Ejecución!X151</f>
        <v>2472054.83</v>
      </c>
      <c r="AR151" s="127">
        <f>Ejecución!AA151</f>
        <v>0</v>
      </c>
      <c r="AS151" s="127">
        <f>Ejecución!AD151</f>
        <v>0</v>
      </c>
      <c r="AT151" s="503"/>
    </row>
    <row r="152" spans="1:46" s="139" customFormat="1" ht="66" x14ac:dyDescent="0.25">
      <c r="A152" s="467" t="s">
        <v>493</v>
      </c>
      <c r="B152" s="109" t="s">
        <v>493</v>
      </c>
      <c r="C152" s="246" t="s">
        <v>495</v>
      </c>
      <c r="D152" s="143" t="s">
        <v>296</v>
      </c>
      <c r="E152" s="143" t="s">
        <v>296</v>
      </c>
      <c r="F152" s="143" t="s">
        <v>296</v>
      </c>
      <c r="G152" s="143" t="s">
        <v>296</v>
      </c>
      <c r="H152" s="127" t="s">
        <v>26</v>
      </c>
      <c r="I152" s="127" t="s">
        <v>17</v>
      </c>
      <c r="J152" s="290" t="s">
        <v>540</v>
      </c>
      <c r="K152" s="166">
        <v>2570352</v>
      </c>
      <c r="L152" s="166"/>
      <c r="M152" s="166"/>
      <c r="N152" s="304">
        <f t="shared" si="26"/>
        <v>2570352</v>
      </c>
      <c r="O152" s="132"/>
      <c r="P152" s="132"/>
      <c r="Q152" s="132"/>
      <c r="R152" s="132"/>
      <c r="S152" s="132"/>
      <c r="T152" s="132"/>
      <c r="U152" s="182"/>
      <c r="V152" s="182"/>
      <c r="W152" s="110"/>
      <c r="X152" s="130">
        <v>2570352</v>
      </c>
      <c r="Z152" s="130"/>
      <c r="AA152" s="303">
        <f t="shared" si="30"/>
        <v>2570352</v>
      </c>
      <c r="AB152" s="236" t="s">
        <v>74</v>
      </c>
      <c r="AC152" s="143" t="s">
        <v>14</v>
      </c>
      <c r="AD152" s="127" t="s">
        <v>35</v>
      </c>
      <c r="AE152" s="144" t="s">
        <v>555</v>
      </c>
      <c r="AF152" s="142" t="s">
        <v>420</v>
      </c>
      <c r="AG152" s="142" t="s">
        <v>420</v>
      </c>
      <c r="AH152" s="143" t="s">
        <v>539</v>
      </c>
      <c r="AI152" s="137" t="s">
        <v>503</v>
      </c>
      <c r="AJ152" s="144" t="s">
        <v>554</v>
      </c>
      <c r="AK152" s="127">
        <f>Ejecución!V152</f>
        <v>2570352</v>
      </c>
      <c r="AL152" s="127">
        <f>Ejecución!W152</f>
        <v>0</v>
      </c>
      <c r="AM152" s="127">
        <f>Ejecución!Y152</f>
        <v>0</v>
      </c>
      <c r="AN152" s="127">
        <f>Ejecución!Z152</f>
        <v>0</v>
      </c>
      <c r="AO152" s="127">
        <f>Ejecución!AB152</f>
        <v>0</v>
      </c>
      <c r="AP152" s="127">
        <f>Ejecución!AC152</f>
        <v>0</v>
      </c>
      <c r="AQ152" s="127">
        <f>Ejecución!X152</f>
        <v>2570352</v>
      </c>
      <c r="AR152" s="127">
        <f>Ejecución!AA152</f>
        <v>0</v>
      </c>
      <c r="AS152" s="127">
        <f>Ejecución!AD152</f>
        <v>0</v>
      </c>
      <c r="AT152" s="497"/>
    </row>
    <row r="153" spans="1:46" s="139" customFormat="1" ht="409.5" x14ac:dyDescent="0.25">
      <c r="A153" s="467" t="s">
        <v>638</v>
      </c>
      <c r="B153" s="109" t="s">
        <v>506</v>
      </c>
      <c r="C153" s="467" t="s">
        <v>487</v>
      </c>
      <c r="D153" s="143" t="s">
        <v>296</v>
      </c>
      <c r="E153" s="143" t="s">
        <v>296</v>
      </c>
      <c r="F153" s="143" t="s">
        <v>296</v>
      </c>
      <c r="G153" s="143" t="s">
        <v>296</v>
      </c>
      <c r="H153" s="127" t="s">
        <v>26</v>
      </c>
      <c r="I153" s="127" t="s">
        <v>26</v>
      </c>
      <c r="J153" s="289" t="s">
        <v>505</v>
      </c>
      <c r="K153" s="469">
        <v>12234000</v>
      </c>
      <c r="L153" s="255">
        <v>11000000</v>
      </c>
      <c r="M153" s="238"/>
      <c r="N153" s="304">
        <f t="shared" si="26"/>
        <v>23234000</v>
      </c>
      <c r="O153" s="132"/>
      <c r="P153" s="132"/>
      <c r="Q153" s="132"/>
      <c r="R153" s="132"/>
      <c r="S153" s="132">
        <f>3500000+896127</f>
        <v>4396127</v>
      </c>
      <c r="T153" s="132"/>
      <c r="U153" s="182">
        <v>60</v>
      </c>
      <c r="V153" s="182">
        <v>58672</v>
      </c>
      <c r="W153" s="110"/>
      <c r="X153" s="244">
        <f>+K153-U153</f>
        <v>12233940</v>
      </c>
      <c r="Y153" s="256">
        <f>+L153+P153+S153-V153</f>
        <v>15337455</v>
      </c>
      <c r="Z153" s="130"/>
      <c r="AA153" s="303">
        <f t="shared" si="30"/>
        <v>27571395</v>
      </c>
      <c r="AB153" s="236" t="s">
        <v>74</v>
      </c>
      <c r="AC153" s="127" t="s">
        <v>14</v>
      </c>
      <c r="AD153" s="143" t="s">
        <v>27</v>
      </c>
      <c r="AE153" s="110">
        <v>84131501</v>
      </c>
      <c r="AF153" s="110" t="s">
        <v>61</v>
      </c>
      <c r="AG153" s="110" t="s">
        <v>61</v>
      </c>
      <c r="AH153" s="467">
        <v>11</v>
      </c>
      <c r="AI153" s="137" t="s">
        <v>503</v>
      </c>
      <c r="AJ153" s="144" t="s">
        <v>554</v>
      </c>
      <c r="AK153" s="127">
        <f>Ejecución!V153</f>
        <v>12233940</v>
      </c>
      <c r="AL153" s="127">
        <f>Ejecución!W153</f>
        <v>0</v>
      </c>
      <c r="AM153" s="127">
        <f>Ejecución!Y153</f>
        <v>15337455</v>
      </c>
      <c r="AN153" s="127">
        <f>Ejecución!Z153</f>
        <v>0</v>
      </c>
      <c r="AO153" s="127">
        <f>Ejecución!AB153</f>
        <v>0</v>
      </c>
      <c r="AP153" s="127">
        <f>Ejecución!AC153</f>
        <v>0</v>
      </c>
      <c r="AQ153" s="127">
        <f>Ejecución!X153</f>
        <v>12233940</v>
      </c>
      <c r="AR153" s="127">
        <f>Ejecución!AA153</f>
        <v>15337455</v>
      </c>
      <c r="AS153" s="127">
        <f>Ejecución!AD153</f>
        <v>0</v>
      </c>
      <c r="AT153" s="524" t="s">
        <v>1056</v>
      </c>
    </row>
    <row r="154" spans="1:46" s="250" customFormat="1" ht="90" x14ac:dyDescent="0.25">
      <c r="A154" s="467" t="s">
        <v>483</v>
      </c>
      <c r="B154" s="109" t="s">
        <v>483</v>
      </c>
      <c r="C154" s="231" t="s">
        <v>486</v>
      </c>
      <c r="D154" s="143" t="s">
        <v>296</v>
      </c>
      <c r="E154" s="143" t="s">
        <v>296</v>
      </c>
      <c r="F154" s="143" t="s">
        <v>296</v>
      </c>
      <c r="G154" s="143" t="s">
        <v>296</v>
      </c>
      <c r="H154" s="127" t="s">
        <v>26</v>
      </c>
      <c r="I154" s="239" t="s">
        <v>26</v>
      </c>
      <c r="J154" s="468" t="s">
        <v>438</v>
      </c>
      <c r="K154" s="241">
        <v>1530350</v>
      </c>
      <c r="L154" s="245"/>
      <c r="M154" s="238"/>
      <c r="N154" s="304">
        <f t="shared" si="26"/>
        <v>1530350</v>
      </c>
      <c r="O154" s="132"/>
      <c r="P154" s="132"/>
      <c r="Q154" s="132"/>
      <c r="R154" s="132"/>
      <c r="S154" s="132"/>
      <c r="T154" s="132"/>
      <c r="U154" s="182"/>
      <c r="V154" s="182"/>
      <c r="W154" s="110"/>
      <c r="X154" s="130">
        <v>1530350</v>
      </c>
      <c r="Y154" s="139"/>
      <c r="Z154" s="130"/>
      <c r="AA154" s="303">
        <f t="shared" si="30"/>
        <v>1530350</v>
      </c>
      <c r="AB154" s="236" t="s">
        <v>74</v>
      </c>
      <c r="AC154" s="127" t="s">
        <v>14</v>
      </c>
      <c r="AD154" s="127" t="s">
        <v>27</v>
      </c>
      <c r="AE154" s="467"/>
      <c r="AF154" s="142" t="s">
        <v>420</v>
      </c>
      <c r="AG154" s="142" t="s">
        <v>420</v>
      </c>
      <c r="AH154" s="137">
        <v>10</v>
      </c>
      <c r="AI154" s="137" t="s">
        <v>503</v>
      </c>
      <c r="AJ154" s="143" t="s">
        <v>418</v>
      </c>
      <c r="AK154" s="127">
        <f>Ejecución!V154</f>
        <v>0</v>
      </c>
      <c r="AL154" s="127">
        <f>Ejecución!W154</f>
        <v>1530350</v>
      </c>
      <c r="AM154" s="127">
        <f>Ejecución!Y154</f>
        <v>0</v>
      </c>
      <c r="AN154" s="127">
        <f>Ejecución!Z154</f>
        <v>0</v>
      </c>
      <c r="AO154" s="127">
        <f>Ejecución!AB154</f>
        <v>0</v>
      </c>
      <c r="AP154" s="127">
        <f>Ejecución!AC154</f>
        <v>0</v>
      </c>
      <c r="AQ154" s="127">
        <f>Ejecución!X154</f>
        <v>0</v>
      </c>
      <c r="AR154" s="127">
        <f>Ejecución!AA154</f>
        <v>0</v>
      </c>
      <c r="AS154" s="127">
        <f>Ejecución!AD154</f>
        <v>0</v>
      </c>
      <c r="AT154" s="503"/>
    </row>
    <row r="155" spans="1:46" ht="409.5" x14ac:dyDescent="0.25">
      <c r="A155" s="467" t="s">
        <v>485</v>
      </c>
      <c r="B155" s="109" t="s">
        <v>729</v>
      </c>
      <c r="C155" s="231" t="s">
        <v>486</v>
      </c>
      <c r="D155" s="143" t="s">
        <v>296</v>
      </c>
      <c r="E155" s="143" t="s">
        <v>296</v>
      </c>
      <c r="F155" s="143" t="s">
        <v>296</v>
      </c>
      <c r="G155" s="143" t="s">
        <v>296</v>
      </c>
      <c r="H155" s="127" t="s">
        <v>26</v>
      </c>
      <c r="I155" s="127" t="s">
        <v>26</v>
      </c>
      <c r="J155" s="468" t="s">
        <v>440</v>
      </c>
      <c r="K155" s="244">
        <v>5381504</v>
      </c>
      <c r="L155" s="257">
        <v>312219</v>
      </c>
      <c r="M155" s="238"/>
      <c r="N155" s="304">
        <f t="shared" si="26"/>
        <v>5693723</v>
      </c>
      <c r="O155" s="132"/>
      <c r="P155" s="132"/>
      <c r="Q155" s="132"/>
      <c r="R155" s="132"/>
      <c r="S155" s="132"/>
      <c r="T155" s="132"/>
      <c r="U155" s="182">
        <v>551734</v>
      </c>
      <c r="V155" s="182">
        <v>312219</v>
      </c>
      <c r="W155" s="110"/>
      <c r="X155" s="244">
        <f>+K155-U155</f>
        <v>4829770</v>
      </c>
      <c r="Y155" s="257">
        <f>+L155-V155</f>
        <v>0</v>
      </c>
      <c r="Z155" s="130"/>
      <c r="AA155" s="303">
        <f t="shared" si="30"/>
        <v>4829770</v>
      </c>
      <c r="AB155" s="236" t="s">
        <v>74</v>
      </c>
      <c r="AC155" s="127" t="s">
        <v>14</v>
      </c>
      <c r="AD155" s="127" t="s">
        <v>27</v>
      </c>
      <c r="AE155" s="467"/>
      <c r="AF155" s="142" t="s">
        <v>420</v>
      </c>
      <c r="AG155" s="142" t="s">
        <v>420</v>
      </c>
      <c r="AH155" s="137">
        <v>11</v>
      </c>
      <c r="AI155" s="137" t="s">
        <v>503</v>
      </c>
      <c r="AJ155" s="143" t="s">
        <v>418</v>
      </c>
      <c r="AK155" s="127">
        <f>Ejecución!V155</f>
        <v>4441585</v>
      </c>
      <c r="AL155" s="127">
        <f>Ejecución!W155</f>
        <v>388185</v>
      </c>
      <c r="AM155" s="127">
        <f>Ejecución!Y155</f>
        <v>0</v>
      </c>
      <c r="AN155" s="127">
        <f>Ejecución!Z155</f>
        <v>0</v>
      </c>
      <c r="AO155" s="127">
        <f>Ejecución!AB155</f>
        <v>0</v>
      </c>
      <c r="AP155" s="127">
        <f>Ejecución!AC155</f>
        <v>0</v>
      </c>
      <c r="AQ155" s="127">
        <f>Ejecución!X155</f>
        <v>4441585</v>
      </c>
      <c r="AR155" s="127">
        <f>Ejecución!AA155</f>
        <v>0</v>
      </c>
      <c r="AS155" s="127">
        <f>Ejecución!AD155</f>
        <v>0</v>
      </c>
      <c r="AT155" s="524" t="s">
        <v>1059</v>
      </c>
    </row>
    <row r="156" spans="1:46" ht="409.5" x14ac:dyDescent="0.25">
      <c r="A156" s="258" t="s">
        <v>393</v>
      </c>
      <c r="B156" s="232" t="s">
        <v>393</v>
      </c>
      <c r="C156" s="231" t="s">
        <v>486</v>
      </c>
      <c r="D156" s="143" t="s">
        <v>296</v>
      </c>
      <c r="E156" s="143" t="s">
        <v>296</v>
      </c>
      <c r="F156" s="143" t="s">
        <v>296</v>
      </c>
      <c r="G156" s="143" t="s">
        <v>296</v>
      </c>
      <c r="H156" s="127" t="s">
        <v>26</v>
      </c>
      <c r="I156" s="127" t="s">
        <v>26</v>
      </c>
      <c r="J156" s="290" t="s">
        <v>456</v>
      </c>
      <c r="K156" s="257">
        <v>2750000</v>
      </c>
      <c r="L156" s="259"/>
      <c r="M156" s="238"/>
      <c r="N156" s="304">
        <f t="shared" si="26"/>
        <v>2750000</v>
      </c>
      <c r="O156" s="132"/>
      <c r="P156" s="132"/>
      <c r="Q156" s="132"/>
      <c r="R156" s="132"/>
      <c r="S156" s="132"/>
      <c r="T156" s="132"/>
      <c r="U156" s="182">
        <v>934300</v>
      </c>
      <c r="V156" s="182"/>
      <c r="W156" s="110"/>
      <c r="X156" s="130">
        <f>+N156-U156</f>
        <v>1815700</v>
      </c>
      <c r="Y156" s="477"/>
      <c r="Z156" s="130"/>
      <c r="AA156" s="303">
        <f t="shared" si="30"/>
        <v>1815700</v>
      </c>
      <c r="AB156" s="236" t="s">
        <v>74</v>
      </c>
      <c r="AC156" s="143" t="s">
        <v>308</v>
      </c>
      <c r="AD156" s="143" t="s">
        <v>296</v>
      </c>
      <c r="AE156" s="143" t="s">
        <v>296</v>
      </c>
      <c r="AF156" s="144" t="s">
        <v>296</v>
      </c>
      <c r="AG156" s="144" t="s">
        <v>296</v>
      </c>
      <c r="AH156" s="137" t="s">
        <v>296</v>
      </c>
      <c r="AI156" s="137" t="s">
        <v>296</v>
      </c>
      <c r="AJ156" s="140" t="s">
        <v>25</v>
      </c>
      <c r="AK156" s="127">
        <f>Ejecución!V156</f>
        <v>1505100</v>
      </c>
      <c r="AL156" s="127">
        <f>Ejecución!W156</f>
        <v>310600</v>
      </c>
      <c r="AM156" s="127">
        <f>Ejecución!Y156</f>
        <v>0</v>
      </c>
      <c r="AN156" s="127">
        <f>Ejecución!Z156</f>
        <v>0</v>
      </c>
      <c r="AO156" s="127">
        <f>Ejecución!AB156</f>
        <v>0</v>
      </c>
      <c r="AP156" s="127">
        <f>Ejecución!AC156</f>
        <v>0</v>
      </c>
      <c r="AQ156" s="127">
        <f>Ejecución!X156</f>
        <v>1505100</v>
      </c>
      <c r="AR156" s="127">
        <f>Ejecución!AA156</f>
        <v>0</v>
      </c>
      <c r="AS156" s="127">
        <f>Ejecución!AD156</f>
        <v>0</v>
      </c>
      <c r="AT156" s="526" t="s">
        <v>1047</v>
      </c>
    </row>
    <row r="157" spans="1:46" s="139" customFormat="1" ht="409.5" x14ac:dyDescent="0.25">
      <c r="A157" s="467" t="s">
        <v>484</v>
      </c>
      <c r="B157" s="109" t="s">
        <v>730</v>
      </c>
      <c r="C157" s="231" t="s">
        <v>486</v>
      </c>
      <c r="D157" s="143" t="s">
        <v>296</v>
      </c>
      <c r="E157" s="143" t="s">
        <v>296</v>
      </c>
      <c r="F157" s="143" t="s">
        <v>296</v>
      </c>
      <c r="G157" s="143" t="s">
        <v>296</v>
      </c>
      <c r="H157" s="127" t="s">
        <v>26</v>
      </c>
      <c r="I157" s="127" t="s">
        <v>26</v>
      </c>
      <c r="J157" s="468" t="s">
        <v>439</v>
      </c>
      <c r="K157" s="244">
        <v>34059629</v>
      </c>
      <c r="L157" s="245">
        <v>7418894</v>
      </c>
      <c r="M157" s="238"/>
      <c r="N157" s="304">
        <f t="shared" si="26"/>
        <v>41478523</v>
      </c>
      <c r="O157" s="132"/>
      <c r="P157" s="132"/>
      <c r="Q157" s="132"/>
      <c r="R157" s="132"/>
      <c r="S157" s="132"/>
      <c r="T157" s="132"/>
      <c r="U157" s="182"/>
      <c r="V157" s="182">
        <v>1118473</v>
      </c>
      <c r="W157" s="110"/>
      <c r="X157" s="244">
        <v>34059629</v>
      </c>
      <c r="Y157" s="245">
        <f>+L157-V157</f>
        <v>6300421</v>
      </c>
      <c r="Z157" s="130"/>
      <c r="AA157" s="303">
        <f t="shared" si="30"/>
        <v>40360050</v>
      </c>
      <c r="AB157" s="236" t="s">
        <v>74</v>
      </c>
      <c r="AC157" s="127" t="s">
        <v>14</v>
      </c>
      <c r="AD157" s="127" t="s">
        <v>27</v>
      </c>
      <c r="AE157" s="467"/>
      <c r="AF157" s="142" t="s">
        <v>420</v>
      </c>
      <c r="AG157" s="142" t="s">
        <v>420</v>
      </c>
      <c r="AH157" s="137">
        <v>11</v>
      </c>
      <c r="AI157" s="137" t="s">
        <v>503</v>
      </c>
      <c r="AJ157" s="143" t="s">
        <v>467</v>
      </c>
      <c r="AK157" s="127">
        <f>Ejecución!V157</f>
        <v>34059629</v>
      </c>
      <c r="AL157" s="127">
        <f>Ejecución!W157</f>
        <v>0</v>
      </c>
      <c r="AM157" s="127">
        <f>Ejecución!Y157</f>
        <v>5418500</v>
      </c>
      <c r="AN157" s="127">
        <f>Ejecución!Z157</f>
        <v>881921</v>
      </c>
      <c r="AO157" s="127">
        <f>Ejecución!AB157</f>
        <v>0</v>
      </c>
      <c r="AP157" s="127">
        <f>Ejecución!AC157</f>
        <v>0</v>
      </c>
      <c r="AQ157" s="127">
        <f>Ejecución!X157</f>
        <v>34059629</v>
      </c>
      <c r="AR157" s="127">
        <f>Ejecución!AA157</f>
        <v>5418500</v>
      </c>
      <c r="AS157" s="127">
        <f>Ejecución!AD157</f>
        <v>0</v>
      </c>
      <c r="AT157" s="502" t="s">
        <v>1050</v>
      </c>
    </row>
    <row r="158" spans="1:46" s="139" customFormat="1" ht="409.5" x14ac:dyDescent="0.25">
      <c r="A158" s="467" t="s">
        <v>482</v>
      </c>
      <c r="B158" s="109" t="s">
        <v>482</v>
      </c>
      <c r="C158" s="467" t="s">
        <v>481</v>
      </c>
      <c r="D158" s="143" t="s">
        <v>296</v>
      </c>
      <c r="E158" s="143" t="s">
        <v>296</v>
      </c>
      <c r="F158" s="143" t="s">
        <v>296</v>
      </c>
      <c r="G158" s="143" t="s">
        <v>296</v>
      </c>
      <c r="H158" s="127" t="s">
        <v>26</v>
      </c>
      <c r="I158" s="127" t="s">
        <v>26</v>
      </c>
      <c r="J158" s="289" t="s">
        <v>791</v>
      </c>
      <c r="K158" s="244"/>
      <c r="L158" s="256">
        <v>31519860.325000003</v>
      </c>
      <c r="M158" s="238"/>
      <c r="N158" s="304">
        <f t="shared" si="26"/>
        <v>31519860.325000003</v>
      </c>
      <c r="O158" s="132">
        <v>5000000</v>
      </c>
      <c r="P158" s="132"/>
      <c r="Q158" s="132"/>
      <c r="R158" s="132">
        <v>3836261</v>
      </c>
      <c r="S158" s="132">
        <f>2641471+2500000+110000+6874495+3112503+1664042</f>
        <v>16902511</v>
      </c>
      <c r="T158" s="132"/>
      <c r="U158" s="182"/>
      <c r="V158" s="182"/>
      <c r="W158" s="110"/>
      <c r="X158" s="130">
        <f>+O158+R158</f>
        <v>8836261</v>
      </c>
      <c r="Y158" s="130">
        <f>+L158+P158+S158-V158</f>
        <v>48422371.325000003</v>
      </c>
      <c r="Z158" s="130"/>
      <c r="AA158" s="303">
        <f>+Y158+Z158+X158</f>
        <v>57258632.325000003</v>
      </c>
      <c r="AB158" s="236" t="s">
        <v>74</v>
      </c>
      <c r="AC158" s="127" t="s">
        <v>34</v>
      </c>
      <c r="AD158" s="127" t="s">
        <v>27</v>
      </c>
      <c r="AE158" s="467">
        <v>72103300</v>
      </c>
      <c r="AF158" s="221" t="s">
        <v>422</v>
      </c>
      <c r="AG158" s="110" t="s">
        <v>790</v>
      </c>
      <c r="AH158" s="467">
        <v>4</v>
      </c>
      <c r="AI158" s="137" t="s">
        <v>503</v>
      </c>
      <c r="AJ158" s="143" t="s">
        <v>467</v>
      </c>
      <c r="AK158" s="127">
        <f>Ejecución!V158</f>
        <v>8836261</v>
      </c>
      <c r="AL158" s="127">
        <f>Ejecución!W158</f>
        <v>0</v>
      </c>
      <c r="AM158" s="127">
        <f>Ejecución!Y158</f>
        <v>48209571</v>
      </c>
      <c r="AN158" s="127">
        <f>Ejecución!Z158</f>
        <v>212800.32500000298</v>
      </c>
      <c r="AO158" s="127">
        <f>Ejecución!AB158</f>
        <v>0</v>
      </c>
      <c r="AP158" s="127">
        <f>Ejecución!AC158</f>
        <v>0</v>
      </c>
      <c r="AQ158" s="127">
        <f>Ejecución!X158</f>
        <v>5000000</v>
      </c>
      <c r="AR158" s="127">
        <f>Ejecución!AA158</f>
        <v>13666215</v>
      </c>
      <c r="AS158" s="127">
        <f>Ejecución!AD158</f>
        <v>0</v>
      </c>
      <c r="AT158" s="502" t="s">
        <v>1117</v>
      </c>
    </row>
    <row r="159" spans="1:46" s="139" customFormat="1" ht="409.5" x14ac:dyDescent="0.25">
      <c r="A159" s="467" t="s">
        <v>497</v>
      </c>
      <c r="B159" s="109" t="s">
        <v>1015</v>
      </c>
      <c r="C159" s="260" t="s">
        <v>480</v>
      </c>
      <c r="D159" s="143" t="s">
        <v>296</v>
      </c>
      <c r="E159" s="143" t="s">
        <v>296</v>
      </c>
      <c r="F159" s="143" t="s">
        <v>296</v>
      </c>
      <c r="G159" s="143" t="s">
        <v>296</v>
      </c>
      <c r="H159" s="127" t="s">
        <v>26</v>
      </c>
      <c r="I159" s="127" t="s">
        <v>26</v>
      </c>
      <c r="J159" s="290" t="s">
        <v>857</v>
      </c>
      <c r="K159" s="261"/>
      <c r="L159" s="262">
        <v>2737174</v>
      </c>
      <c r="M159" s="131"/>
      <c r="N159" s="304">
        <f t="shared" si="26"/>
        <v>2737174</v>
      </c>
      <c r="O159" s="132"/>
      <c r="P159" s="132"/>
      <c r="Q159" s="132"/>
      <c r="R159" s="132"/>
      <c r="S159" s="132"/>
      <c r="T159" s="132"/>
      <c r="U159" s="182"/>
      <c r="V159" s="182">
        <v>51130</v>
      </c>
      <c r="W159" s="110"/>
      <c r="X159" s="130"/>
      <c r="Y159" s="130">
        <f>+N159-V159</f>
        <v>2686044</v>
      </c>
      <c r="Z159" s="130"/>
      <c r="AA159" s="303">
        <f t="shared" si="30"/>
        <v>2686044</v>
      </c>
      <c r="AB159" s="236" t="s">
        <v>74</v>
      </c>
      <c r="AC159" s="143" t="s">
        <v>14</v>
      </c>
      <c r="AD159" s="143" t="s">
        <v>31</v>
      </c>
      <c r="AE159" s="143">
        <v>43233200</v>
      </c>
      <c r="AF159" s="144" t="s">
        <v>68</v>
      </c>
      <c r="AG159" s="144" t="s">
        <v>423</v>
      </c>
      <c r="AH159" s="143" t="s">
        <v>87</v>
      </c>
      <c r="AI159" s="137" t="s">
        <v>834</v>
      </c>
      <c r="AJ159" s="143" t="s">
        <v>418</v>
      </c>
      <c r="AK159" s="127">
        <f>Ejecución!V159</f>
        <v>0</v>
      </c>
      <c r="AL159" s="127">
        <f>Ejecución!W159</f>
        <v>0</v>
      </c>
      <c r="AM159" s="127">
        <f>Ejecución!Y159</f>
        <v>1392300</v>
      </c>
      <c r="AN159" s="127">
        <f>Ejecución!Z159</f>
        <v>1293744</v>
      </c>
      <c r="AO159" s="127">
        <f>Ejecución!AB159</f>
        <v>0</v>
      </c>
      <c r="AP159" s="127">
        <f>Ejecución!AC159</f>
        <v>0</v>
      </c>
      <c r="AQ159" s="127">
        <f>Ejecución!X159</f>
        <v>0</v>
      </c>
      <c r="AR159" s="127">
        <f>Ejecución!AA159</f>
        <v>0</v>
      </c>
      <c r="AS159" s="127">
        <f>Ejecución!AD159</f>
        <v>0</v>
      </c>
      <c r="AT159" s="497" t="s">
        <v>1050</v>
      </c>
    </row>
    <row r="160" spans="1:46" s="139" customFormat="1" ht="155.25" customHeight="1" x14ac:dyDescent="0.25">
      <c r="A160" s="467" t="s">
        <v>497</v>
      </c>
      <c r="B160" s="109" t="s">
        <v>1015</v>
      </c>
      <c r="C160" s="260" t="s">
        <v>480</v>
      </c>
      <c r="D160" s="143" t="s">
        <v>296</v>
      </c>
      <c r="E160" s="143" t="s">
        <v>296</v>
      </c>
      <c r="F160" s="143" t="s">
        <v>296</v>
      </c>
      <c r="G160" s="143" t="s">
        <v>296</v>
      </c>
      <c r="H160" s="127" t="s">
        <v>17</v>
      </c>
      <c r="I160" s="127" t="s">
        <v>17</v>
      </c>
      <c r="J160" s="290" t="s">
        <v>1011</v>
      </c>
      <c r="K160" s="130">
        <v>40000000</v>
      </c>
      <c r="L160" s="225"/>
      <c r="M160" s="131"/>
      <c r="N160" s="304">
        <f t="shared" si="26"/>
        <v>40000000</v>
      </c>
      <c r="O160" s="132"/>
      <c r="P160" s="132"/>
      <c r="Q160" s="132"/>
      <c r="R160" s="132"/>
      <c r="S160" s="132"/>
      <c r="T160" s="132"/>
      <c r="U160" s="132"/>
      <c r="V160" s="132"/>
      <c r="W160" s="165"/>
      <c r="X160" s="130">
        <v>40000000</v>
      </c>
      <c r="Z160" s="130"/>
      <c r="AA160" s="303">
        <f t="shared" si="30"/>
        <v>40000000</v>
      </c>
      <c r="AB160" s="236" t="s">
        <v>74</v>
      </c>
      <c r="AC160" s="143" t="s">
        <v>94</v>
      </c>
      <c r="AD160" s="127" t="s">
        <v>18</v>
      </c>
      <c r="AE160" s="136">
        <v>43233501</v>
      </c>
      <c r="AF160" s="136" t="s">
        <v>425</v>
      </c>
      <c r="AG160" s="136" t="s">
        <v>425</v>
      </c>
      <c r="AH160" s="137" t="s">
        <v>87</v>
      </c>
      <c r="AI160" s="137" t="s">
        <v>503</v>
      </c>
      <c r="AJ160" s="127" t="s">
        <v>467</v>
      </c>
      <c r="AK160" s="127">
        <f>Ejecución!V160</f>
        <v>38386289</v>
      </c>
      <c r="AL160" s="127">
        <f>Ejecución!W160</f>
        <v>1613711</v>
      </c>
      <c r="AM160" s="127">
        <f>Ejecución!Y160</f>
        <v>0</v>
      </c>
      <c r="AN160" s="127">
        <f>Ejecución!Z160</f>
        <v>0</v>
      </c>
      <c r="AO160" s="127">
        <f>Ejecución!AB160</f>
        <v>0</v>
      </c>
      <c r="AP160" s="127">
        <f>Ejecución!AC160</f>
        <v>0</v>
      </c>
      <c r="AQ160" s="127">
        <f>Ejecución!X160</f>
        <v>0</v>
      </c>
      <c r="AR160" s="127">
        <f>Ejecución!AA160</f>
        <v>0</v>
      </c>
      <c r="AS160" s="127">
        <f>Ejecución!AD160</f>
        <v>0</v>
      </c>
      <c r="AT160" s="497" t="s">
        <v>1013</v>
      </c>
    </row>
    <row r="161" spans="1:46" s="139" customFormat="1" ht="409.5" x14ac:dyDescent="0.25">
      <c r="A161" s="467" t="s">
        <v>336</v>
      </c>
      <c r="B161" s="109" t="s">
        <v>336</v>
      </c>
      <c r="C161" s="110" t="s">
        <v>496</v>
      </c>
      <c r="D161" s="143" t="s">
        <v>296</v>
      </c>
      <c r="E161" s="143" t="s">
        <v>296</v>
      </c>
      <c r="F161" s="143" t="s">
        <v>296</v>
      </c>
      <c r="G161" s="144" t="s">
        <v>296</v>
      </c>
      <c r="H161" s="140" t="s">
        <v>26</v>
      </c>
      <c r="I161" s="140" t="s">
        <v>26</v>
      </c>
      <c r="J161" s="290" t="s">
        <v>459</v>
      </c>
      <c r="K161" s="244"/>
      <c r="L161" s="263">
        <v>150000</v>
      </c>
      <c r="M161" s="238"/>
      <c r="N161" s="304">
        <f t="shared" si="26"/>
        <v>150000</v>
      </c>
      <c r="O161" s="132"/>
      <c r="P161" s="132"/>
      <c r="Q161" s="132"/>
      <c r="R161" s="132"/>
      <c r="S161" s="132">
        <v>83037</v>
      </c>
      <c r="T161" s="132"/>
      <c r="U161" s="182"/>
      <c r="V161" s="182">
        <v>10000</v>
      </c>
      <c r="W161" s="110"/>
      <c r="X161" s="130"/>
      <c r="Y161" s="130">
        <f>+L161+P161+S161-V161</f>
        <v>223037</v>
      </c>
      <c r="Z161" s="130"/>
      <c r="AA161" s="303">
        <f>+Y161+Z161+X161</f>
        <v>223037</v>
      </c>
      <c r="AB161" s="236" t="s">
        <v>74</v>
      </c>
      <c r="AC161" s="143" t="s">
        <v>94</v>
      </c>
      <c r="AD161" s="127" t="s">
        <v>27</v>
      </c>
      <c r="AE161" s="143" t="s">
        <v>745</v>
      </c>
      <c r="AF161" s="144" t="s">
        <v>421</v>
      </c>
      <c r="AG161" s="144" t="s">
        <v>421</v>
      </c>
      <c r="AH161" s="137">
        <v>8</v>
      </c>
      <c r="AI161" s="137" t="s">
        <v>296</v>
      </c>
      <c r="AJ161" s="143" t="s">
        <v>418</v>
      </c>
      <c r="AK161" s="127">
        <f>Ejecución!V161</f>
        <v>0</v>
      </c>
      <c r="AL161" s="127">
        <f>Ejecución!W161</f>
        <v>0</v>
      </c>
      <c r="AM161" s="127">
        <f>Ejecución!Y161</f>
        <v>223037</v>
      </c>
      <c r="AN161" s="127">
        <f>Ejecución!Z161</f>
        <v>0</v>
      </c>
      <c r="AO161" s="127">
        <f>Ejecución!AB161</f>
        <v>0</v>
      </c>
      <c r="AP161" s="127">
        <f>Ejecución!AC161</f>
        <v>0</v>
      </c>
      <c r="AQ161" s="127">
        <f>Ejecución!X161</f>
        <v>0</v>
      </c>
      <c r="AR161" s="127">
        <f>Ejecución!AA161</f>
        <v>0</v>
      </c>
      <c r="AS161" s="127">
        <f>Ejecución!AD161</f>
        <v>0</v>
      </c>
      <c r="AT161" s="502" t="s">
        <v>1053</v>
      </c>
    </row>
    <row r="162" spans="1:46" s="139" customFormat="1" ht="409.5" x14ac:dyDescent="0.25">
      <c r="A162" s="110" t="s">
        <v>390</v>
      </c>
      <c r="B162" s="109" t="s">
        <v>390</v>
      </c>
      <c r="C162" s="110" t="s">
        <v>496</v>
      </c>
      <c r="D162" s="143" t="s">
        <v>296</v>
      </c>
      <c r="E162" s="143" t="s">
        <v>296</v>
      </c>
      <c r="F162" s="143" t="s">
        <v>296</v>
      </c>
      <c r="G162" s="144" t="s">
        <v>296</v>
      </c>
      <c r="H162" s="140" t="s">
        <v>26</v>
      </c>
      <c r="I162" s="140" t="s">
        <v>26</v>
      </c>
      <c r="J162" s="290" t="s">
        <v>452</v>
      </c>
      <c r="K162" s="257">
        <v>1793000</v>
      </c>
      <c r="L162" s="238"/>
      <c r="M162" s="238"/>
      <c r="N162" s="304">
        <f t="shared" ref="N162:N177" si="32">K162+L162+M162</f>
        <v>1793000</v>
      </c>
      <c r="O162" s="132"/>
      <c r="P162" s="132"/>
      <c r="Q162" s="132"/>
      <c r="R162" s="132"/>
      <c r="S162" s="132"/>
      <c r="T162" s="132"/>
      <c r="U162" s="521">
        <v>883076</v>
      </c>
      <c r="V162" s="182"/>
      <c r="W162" s="110"/>
      <c r="X162" s="130">
        <f>+N162-U162</f>
        <v>909924</v>
      </c>
      <c r="Y162" s="130">
        <f t="shared" ref="Y162:Y170" si="33">+L162+P162+S162-V162</f>
        <v>0</v>
      </c>
      <c r="Z162" s="130"/>
      <c r="AA162" s="303">
        <f t="shared" ref="AA162:AA183" si="34">+Y162+Z162+X162</f>
        <v>909924</v>
      </c>
      <c r="AB162" s="236" t="s">
        <v>74</v>
      </c>
      <c r="AC162" s="143" t="s">
        <v>308</v>
      </c>
      <c r="AD162" s="143" t="s">
        <v>296</v>
      </c>
      <c r="AE162" s="143" t="s">
        <v>296</v>
      </c>
      <c r="AF162" s="144" t="s">
        <v>296</v>
      </c>
      <c r="AG162" s="144" t="s">
        <v>296</v>
      </c>
      <c r="AH162" s="137" t="s">
        <v>296</v>
      </c>
      <c r="AI162" s="137" t="s">
        <v>296</v>
      </c>
      <c r="AJ162" s="140" t="s">
        <v>25</v>
      </c>
      <c r="AK162" s="127">
        <f>Ejecución!V162</f>
        <v>586924</v>
      </c>
      <c r="AL162" s="127">
        <f>Ejecución!W162</f>
        <v>323000</v>
      </c>
      <c r="AM162" s="127">
        <f>Ejecución!Y162</f>
        <v>0</v>
      </c>
      <c r="AN162" s="127">
        <f>Ejecución!Z162</f>
        <v>0</v>
      </c>
      <c r="AO162" s="127">
        <f>Ejecución!AB162</f>
        <v>0</v>
      </c>
      <c r="AP162" s="127">
        <f>Ejecución!AC162</f>
        <v>0</v>
      </c>
      <c r="AQ162" s="127">
        <f>Ejecución!X162</f>
        <v>586924</v>
      </c>
      <c r="AR162" s="127">
        <f>Ejecución!AA162</f>
        <v>0</v>
      </c>
      <c r="AS162" s="127">
        <f>Ejecución!AD162</f>
        <v>0</v>
      </c>
      <c r="AT162" s="511" t="s">
        <v>1047</v>
      </c>
    </row>
    <row r="163" spans="1:46" s="139" customFormat="1" ht="409.5" x14ac:dyDescent="0.25">
      <c r="A163" s="264" t="s">
        <v>463</v>
      </c>
      <c r="B163" s="228" t="s">
        <v>463</v>
      </c>
      <c r="C163" s="110" t="s">
        <v>496</v>
      </c>
      <c r="D163" s="143" t="s">
        <v>296</v>
      </c>
      <c r="E163" s="143" t="s">
        <v>296</v>
      </c>
      <c r="F163" s="143" t="s">
        <v>296</v>
      </c>
      <c r="G163" s="144" t="s">
        <v>296</v>
      </c>
      <c r="H163" s="127" t="s">
        <v>26</v>
      </c>
      <c r="I163" s="127" t="s">
        <v>26</v>
      </c>
      <c r="J163" s="293" t="s">
        <v>464</v>
      </c>
      <c r="K163" s="266">
        <v>1000000</v>
      </c>
      <c r="L163" s="209"/>
      <c r="M163" s="267"/>
      <c r="N163" s="304">
        <f t="shared" si="32"/>
        <v>1000000</v>
      </c>
      <c r="O163" s="132"/>
      <c r="P163" s="132"/>
      <c r="Q163" s="132"/>
      <c r="R163" s="132">
        <v>495464</v>
      </c>
      <c r="S163" s="132"/>
      <c r="T163" s="132"/>
      <c r="U163" s="182">
        <v>10001</v>
      </c>
      <c r="V163" s="182"/>
      <c r="W163" s="110"/>
      <c r="X163" s="130">
        <f>+K163+O163+R163-U163</f>
        <v>1485463</v>
      </c>
      <c r="Y163" s="130">
        <f t="shared" si="33"/>
        <v>0</v>
      </c>
      <c r="Z163" s="130"/>
      <c r="AA163" s="303">
        <f t="shared" si="34"/>
        <v>1485463</v>
      </c>
      <c r="AB163" s="236" t="s">
        <v>74</v>
      </c>
      <c r="AC163" s="143" t="s">
        <v>94</v>
      </c>
      <c r="AD163" s="127" t="s">
        <v>27</v>
      </c>
      <c r="AE163" s="467">
        <v>47131800</v>
      </c>
      <c r="AF163" s="110" t="s">
        <v>421</v>
      </c>
      <c r="AG163" s="110" t="s">
        <v>421</v>
      </c>
      <c r="AH163" s="137">
        <v>8</v>
      </c>
      <c r="AI163" s="137" t="s">
        <v>503</v>
      </c>
      <c r="AJ163" s="143" t="s">
        <v>418</v>
      </c>
      <c r="AK163" s="127">
        <f>Ejecución!V163</f>
        <v>1485463</v>
      </c>
      <c r="AL163" s="127">
        <f>Ejecución!W163</f>
        <v>0</v>
      </c>
      <c r="AM163" s="127">
        <f>Ejecución!Y163</f>
        <v>0</v>
      </c>
      <c r="AN163" s="127">
        <f>Ejecución!Z163</f>
        <v>0</v>
      </c>
      <c r="AO163" s="127">
        <f>Ejecución!AB163</f>
        <v>0</v>
      </c>
      <c r="AP163" s="127">
        <f>Ejecución!AC163</f>
        <v>0</v>
      </c>
      <c r="AQ163" s="127">
        <f>Ejecución!X163</f>
        <v>1480820</v>
      </c>
      <c r="AR163" s="127">
        <f>Ejecución!AA163</f>
        <v>0</v>
      </c>
      <c r="AS163" s="127">
        <f>Ejecución!AD163</f>
        <v>0</v>
      </c>
      <c r="AT163" s="525" t="s">
        <v>1049</v>
      </c>
    </row>
    <row r="164" spans="1:46" s="139" customFormat="1" ht="306" x14ac:dyDescent="0.25">
      <c r="A164" s="467" t="s">
        <v>498</v>
      </c>
      <c r="B164" s="109" t="s">
        <v>498</v>
      </c>
      <c r="C164" s="110" t="s">
        <v>496</v>
      </c>
      <c r="D164" s="143" t="s">
        <v>296</v>
      </c>
      <c r="E164" s="143" t="s">
        <v>296</v>
      </c>
      <c r="F164" s="143" t="s">
        <v>296</v>
      </c>
      <c r="G164" s="143" t="s">
        <v>296</v>
      </c>
      <c r="H164" s="127" t="s">
        <v>26</v>
      </c>
      <c r="I164" s="127" t="s">
        <v>26</v>
      </c>
      <c r="J164" s="293" t="s">
        <v>435</v>
      </c>
      <c r="K164" s="268">
        <v>1420000</v>
      </c>
      <c r="L164" s="269">
        <v>9126634</v>
      </c>
      <c r="M164" s="238"/>
      <c r="N164" s="304">
        <f t="shared" si="32"/>
        <v>10546634</v>
      </c>
      <c r="O164" s="132"/>
      <c r="P164" s="132"/>
      <c r="Q164" s="132"/>
      <c r="R164" s="132"/>
      <c r="S164" s="132"/>
      <c r="T164" s="132"/>
      <c r="U164" s="182">
        <v>444000</v>
      </c>
      <c r="V164" s="182">
        <v>5726885</v>
      </c>
      <c r="W164" s="110"/>
      <c r="X164" s="244">
        <f>+K164+O164+R164-U164</f>
        <v>976000</v>
      </c>
      <c r="Y164" s="130">
        <f>+L164+P164+S164-V164</f>
        <v>3399749</v>
      </c>
      <c r="Z164" s="130"/>
      <c r="AA164" s="303">
        <f t="shared" si="34"/>
        <v>4375749</v>
      </c>
      <c r="AB164" s="236" t="s">
        <v>74</v>
      </c>
      <c r="AC164" s="143" t="s">
        <v>94</v>
      </c>
      <c r="AD164" s="127" t="s">
        <v>27</v>
      </c>
      <c r="AE164" s="112" t="s">
        <v>795</v>
      </c>
      <c r="AF164" s="144" t="s">
        <v>422</v>
      </c>
      <c r="AG164" s="144" t="s">
        <v>422</v>
      </c>
      <c r="AH164" s="137">
        <v>6</v>
      </c>
      <c r="AI164" s="137" t="s">
        <v>503</v>
      </c>
      <c r="AJ164" s="143" t="s">
        <v>418</v>
      </c>
      <c r="AK164" s="127">
        <f>Ejecución!V164</f>
        <v>976000</v>
      </c>
      <c r="AL164" s="127">
        <f>Ejecución!W164</f>
        <v>0</v>
      </c>
      <c r="AM164" s="127">
        <f>Ejecución!Y164</f>
        <v>3399749</v>
      </c>
      <c r="AN164" s="127">
        <f>Ejecución!Z164</f>
        <v>0</v>
      </c>
      <c r="AO164" s="127">
        <f>Ejecución!AB164</f>
        <v>0</v>
      </c>
      <c r="AP164" s="127">
        <f>Ejecución!AC164</f>
        <v>0</v>
      </c>
      <c r="AQ164" s="127">
        <f>Ejecución!X164</f>
        <v>976000</v>
      </c>
      <c r="AR164" s="127">
        <f>Ejecución!AA164</f>
        <v>3399749</v>
      </c>
      <c r="AS164" s="127">
        <f>Ejecución!AD164</f>
        <v>0</v>
      </c>
      <c r="AT164" s="502" t="s">
        <v>835</v>
      </c>
    </row>
    <row r="165" spans="1:46" s="139" customFormat="1" ht="90" x14ac:dyDescent="0.25">
      <c r="A165" s="112" t="s">
        <v>499</v>
      </c>
      <c r="B165" s="270" t="s">
        <v>499</v>
      </c>
      <c r="C165" s="110" t="s">
        <v>496</v>
      </c>
      <c r="D165" s="143" t="s">
        <v>296</v>
      </c>
      <c r="E165" s="143" t="s">
        <v>296</v>
      </c>
      <c r="F165" s="143" t="s">
        <v>296</v>
      </c>
      <c r="G165" s="143" t="s">
        <v>296</v>
      </c>
      <c r="H165" s="127" t="s">
        <v>26</v>
      </c>
      <c r="I165" s="127" t="s">
        <v>26</v>
      </c>
      <c r="J165" s="293" t="s">
        <v>436</v>
      </c>
      <c r="K165" s="268">
        <v>1172817</v>
      </c>
      <c r="L165" s="271">
        <v>3919128</v>
      </c>
      <c r="M165" s="238"/>
      <c r="N165" s="304">
        <f t="shared" si="32"/>
        <v>5091945</v>
      </c>
      <c r="O165" s="132"/>
      <c r="P165" s="132"/>
      <c r="Q165" s="132"/>
      <c r="R165" s="132"/>
      <c r="S165" s="132"/>
      <c r="T165" s="132"/>
      <c r="U165" s="182"/>
      <c r="V165" s="182"/>
      <c r="W165" s="110"/>
      <c r="X165" s="244">
        <v>1172817</v>
      </c>
      <c r="Y165" s="130">
        <f>+L165+P165+S165-V165</f>
        <v>3919128</v>
      </c>
      <c r="Z165" s="130"/>
      <c r="AA165" s="303">
        <f t="shared" si="34"/>
        <v>5091945</v>
      </c>
      <c r="AB165" s="236" t="s">
        <v>74</v>
      </c>
      <c r="AC165" s="143" t="s">
        <v>94</v>
      </c>
      <c r="AD165" s="127" t="s">
        <v>27</v>
      </c>
      <c r="AE165" s="467">
        <v>15101505</v>
      </c>
      <c r="AF165" s="142" t="s">
        <v>420</v>
      </c>
      <c r="AG165" s="142" t="s">
        <v>420</v>
      </c>
      <c r="AH165" s="137">
        <v>10</v>
      </c>
      <c r="AI165" s="137" t="s">
        <v>503</v>
      </c>
      <c r="AJ165" s="143" t="s">
        <v>418</v>
      </c>
      <c r="AK165" s="127">
        <f>Ejecución!V165</f>
        <v>1172817</v>
      </c>
      <c r="AL165" s="127">
        <f>Ejecución!W165</f>
        <v>0</v>
      </c>
      <c r="AM165" s="127">
        <f>Ejecución!Y165</f>
        <v>3848703</v>
      </c>
      <c r="AN165" s="127">
        <f>Ejecución!Z165</f>
        <v>70425</v>
      </c>
      <c r="AO165" s="127">
        <f>Ejecución!AB165</f>
        <v>0</v>
      </c>
      <c r="AP165" s="127">
        <f>Ejecución!AC165</f>
        <v>0</v>
      </c>
      <c r="AQ165" s="127">
        <f>Ejecución!X165</f>
        <v>1172817</v>
      </c>
      <c r="AR165" s="127">
        <f>Ejecución!AA165</f>
        <v>980423</v>
      </c>
      <c r="AS165" s="127">
        <f>Ejecución!AD165</f>
        <v>0</v>
      </c>
      <c r="AT165" s="503"/>
    </row>
    <row r="166" spans="1:46" s="139" customFormat="1" ht="409.5" x14ac:dyDescent="0.25">
      <c r="A166" s="467" t="s">
        <v>333</v>
      </c>
      <c r="B166" s="109" t="s">
        <v>333</v>
      </c>
      <c r="C166" s="110" t="s">
        <v>496</v>
      </c>
      <c r="D166" s="143" t="s">
        <v>296</v>
      </c>
      <c r="E166" s="143" t="s">
        <v>296</v>
      </c>
      <c r="F166" s="143" t="s">
        <v>296</v>
      </c>
      <c r="G166" s="143" t="s">
        <v>296</v>
      </c>
      <c r="H166" s="140" t="s">
        <v>26</v>
      </c>
      <c r="I166" s="140" t="s">
        <v>26</v>
      </c>
      <c r="J166" s="288" t="s">
        <v>450</v>
      </c>
      <c r="K166" s="469"/>
      <c r="L166" s="237">
        <v>160000</v>
      </c>
      <c r="M166" s="238"/>
      <c r="N166" s="304">
        <f t="shared" si="32"/>
        <v>160000</v>
      </c>
      <c r="O166" s="132"/>
      <c r="P166" s="132"/>
      <c r="Q166" s="132"/>
      <c r="R166" s="132"/>
      <c r="S166" s="132">
        <v>334961</v>
      </c>
      <c r="T166" s="132"/>
      <c r="U166" s="182"/>
      <c r="V166" s="182">
        <v>10000</v>
      </c>
      <c r="W166" s="110"/>
      <c r="X166" s="130"/>
      <c r="Y166" s="130">
        <f>+L166+P166+S166-V166</f>
        <v>484961</v>
      </c>
      <c r="Z166" s="130"/>
      <c r="AA166" s="303">
        <f t="shared" si="34"/>
        <v>484961</v>
      </c>
      <c r="AB166" s="236" t="s">
        <v>74</v>
      </c>
      <c r="AC166" s="143" t="s">
        <v>94</v>
      </c>
      <c r="AD166" s="127" t="s">
        <v>27</v>
      </c>
      <c r="AE166" s="467">
        <v>47131700</v>
      </c>
      <c r="AF166" s="142" t="s">
        <v>421</v>
      </c>
      <c r="AG166" s="142" t="s">
        <v>421</v>
      </c>
      <c r="AH166" s="137">
        <v>8</v>
      </c>
      <c r="AI166" s="137" t="s">
        <v>503</v>
      </c>
      <c r="AJ166" s="143" t="s">
        <v>418</v>
      </c>
      <c r="AK166" s="127">
        <f>Ejecución!V166</f>
        <v>0</v>
      </c>
      <c r="AL166" s="127">
        <f>Ejecución!W166</f>
        <v>0</v>
      </c>
      <c r="AM166" s="127">
        <f>Ejecución!Y166</f>
        <v>484961</v>
      </c>
      <c r="AN166" s="127">
        <f>Ejecución!Z166</f>
        <v>0</v>
      </c>
      <c r="AO166" s="127">
        <f>Ejecución!AB166</f>
        <v>0</v>
      </c>
      <c r="AP166" s="127">
        <f>Ejecución!AC166</f>
        <v>0</v>
      </c>
      <c r="AQ166" s="127">
        <f>Ejecución!X166</f>
        <v>0</v>
      </c>
      <c r="AR166" s="127">
        <f>Ejecución!AA166</f>
        <v>0</v>
      </c>
      <c r="AS166" s="127">
        <f>Ejecución!AD166</f>
        <v>0</v>
      </c>
      <c r="AT166" s="502" t="s">
        <v>1054</v>
      </c>
    </row>
    <row r="167" spans="1:46" s="139" customFormat="1" ht="409.5" x14ac:dyDescent="0.25">
      <c r="A167" s="467" t="s">
        <v>334</v>
      </c>
      <c r="B167" s="109" t="s">
        <v>334</v>
      </c>
      <c r="C167" s="110" t="s">
        <v>496</v>
      </c>
      <c r="D167" s="143" t="s">
        <v>296</v>
      </c>
      <c r="E167" s="143" t="s">
        <v>296</v>
      </c>
      <c r="F167" s="143" t="s">
        <v>296</v>
      </c>
      <c r="G167" s="143" t="s">
        <v>296</v>
      </c>
      <c r="H167" s="140" t="s">
        <v>26</v>
      </c>
      <c r="I167" s="140" t="s">
        <v>26</v>
      </c>
      <c r="J167" s="288" t="s">
        <v>451</v>
      </c>
      <c r="K167" s="469"/>
      <c r="L167" s="237">
        <v>250000</v>
      </c>
      <c r="M167" s="238"/>
      <c r="N167" s="304">
        <f t="shared" si="32"/>
        <v>250000</v>
      </c>
      <c r="O167" s="132"/>
      <c r="P167" s="132"/>
      <c r="Q167" s="132"/>
      <c r="R167" s="132"/>
      <c r="S167" s="132"/>
      <c r="T167" s="132"/>
      <c r="U167" s="182"/>
      <c r="V167" s="182">
        <v>250000</v>
      </c>
      <c r="W167" s="110"/>
      <c r="X167" s="130"/>
      <c r="Y167" s="130">
        <f>+L167+P167+S167-V167</f>
        <v>0</v>
      </c>
      <c r="Z167" s="130"/>
      <c r="AA167" s="303">
        <f t="shared" si="34"/>
        <v>0</v>
      </c>
      <c r="AB167" s="236" t="s">
        <v>74</v>
      </c>
      <c r="AC167" s="143" t="s">
        <v>94</v>
      </c>
      <c r="AD167" s="127" t="s">
        <v>27</v>
      </c>
      <c r="AE167" s="467"/>
      <c r="AF167" s="142" t="s">
        <v>420</v>
      </c>
      <c r="AG167" s="142" t="s">
        <v>420</v>
      </c>
      <c r="AH167" s="137">
        <v>10</v>
      </c>
      <c r="AI167" s="137" t="s">
        <v>503</v>
      </c>
      <c r="AJ167" s="143" t="s">
        <v>418</v>
      </c>
      <c r="AK167" s="127">
        <f>Ejecución!V167</f>
        <v>0</v>
      </c>
      <c r="AL167" s="127">
        <f>Ejecución!W167</f>
        <v>0</v>
      </c>
      <c r="AM167" s="127">
        <f>Ejecución!Y167</f>
        <v>0</v>
      </c>
      <c r="AN167" s="127">
        <f>Ejecución!Z167</f>
        <v>0</v>
      </c>
      <c r="AO167" s="127">
        <f>Ejecución!AB167</f>
        <v>0</v>
      </c>
      <c r="AP167" s="127">
        <f>Ejecución!AC167</f>
        <v>0</v>
      </c>
      <c r="AQ167" s="127">
        <f>Ejecución!X167</f>
        <v>0</v>
      </c>
      <c r="AR167" s="127">
        <f>Ejecución!AA167</f>
        <v>0</v>
      </c>
      <c r="AS167" s="127">
        <f>Ejecución!AD167</f>
        <v>0</v>
      </c>
      <c r="AT167" s="502" t="s">
        <v>1050</v>
      </c>
    </row>
    <row r="168" spans="1:46" s="139" customFormat="1" ht="409.5" x14ac:dyDescent="0.25">
      <c r="A168" s="467" t="s">
        <v>335</v>
      </c>
      <c r="B168" s="109" t="s">
        <v>335</v>
      </c>
      <c r="C168" s="110" t="s">
        <v>496</v>
      </c>
      <c r="D168" s="143" t="s">
        <v>296</v>
      </c>
      <c r="E168" s="143" t="s">
        <v>296</v>
      </c>
      <c r="F168" s="143" t="s">
        <v>296</v>
      </c>
      <c r="G168" s="143" t="s">
        <v>296</v>
      </c>
      <c r="H168" s="140" t="s">
        <v>26</v>
      </c>
      <c r="I168" s="140" t="s">
        <v>26</v>
      </c>
      <c r="J168" s="290" t="s">
        <v>458</v>
      </c>
      <c r="K168" s="244"/>
      <c r="L168" s="263">
        <v>530000</v>
      </c>
      <c r="M168" s="238"/>
      <c r="N168" s="304">
        <f t="shared" si="32"/>
        <v>530000</v>
      </c>
      <c r="O168" s="132"/>
      <c r="P168" s="132"/>
      <c r="Q168" s="132"/>
      <c r="R168" s="132"/>
      <c r="S168" s="132"/>
      <c r="T168" s="132"/>
      <c r="U168" s="182"/>
      <c r="V168" s="182">
        <v>257132</v>
      </c>
      <c r="W168" s="110"/>
      <c r="X168" s="130"/>
      <c r="Y168" s="130">
        <f t="shared" si="33"/>
        <v>272868</v>
      </c>
      <c r="Z168" s="130"/>
      <c r="AA168" s="303">
        <f t="shared" si="34"/>
        <v>272868</v>
      </c>
      <c r="AB168" s="236" t="s">
        <v>74</v>
      </c>
      <c r="AC168" s="143" t="s">
        <v>94</v>
      </c>
      <c r="AD168" s="127" t="s">
        <v>27</v>
      </c>
      <c r="AE168" s="143"/>
      <c r="AF168" s="144" t="s">
        <v>422</v>
      </c>
      <c r="AG168" s="144" t="s">
        <v>422</v>
      </c>
      <c r="AH168" s="137">
        <v>1</v>
      </c>
      <c r="AI168" s="137" t="s">
        <v>296</v>
      </c>
      <c r="AJ168" s="143" t="s">
        <v>418</v>
      </c>
      <c r="AK168" s="127">
        <f>Ejecución!V168</f>
        <v>0</v>
      </c>
      <c r="AL168" s="127">
        <f>Ejecución!W168</f>
        <v>0</v>
      </c>
      <c r="AM168" s="127">
        <f>Ejecución!Y168</f>
        <v>272868</v>
      </c>
      <c r="AN168" s="127">
        <f>Ejecución!Z168</f>
        <v>0</v>
      </c>
      <c r="AO168" s="127">
        <f>Ejecución!AB168</f>
        <v>0</v>
      </c>
      <c r="AP168" s="127">
        <f>Ejecución!AC168</f>
        <v>0</v>
      </c>
      <c r="AQ168" s="127">
        <f>Ejecución!X168</f>
        <v>0</v>
      </c>
      <c r="AR168" s="127">
        <f>Ejecución!AA168</f>
        <v>0</v>
      </c>
      <c r="AS168" s="127">
        <f>Ejecución!AD168</f>
        <v>0</v>
      </c>
      <c r="AT168" s="502" t="s">
        <v>1050</v>
      </c>
    </row>
    <row r="169" spans="1:46" s="139" customFormat="1" ht="153" x14ac:dyDescent="0.25">
      <c r="A169" s="110" t="s">
        <v>793</v>
      </c>
      <c r="B169" s="123" t="s">
        <v>793</v>
      </c>
      <c r="C169" s="110" t="s">
        <v>496</v>
      </c>
      <c r="D169" s="144" t="s">
        <v>296</v>
      </c>
      <c r="E169" s="144" t="s">
        <v>296</v>
      </c>
      <c r="F169" s="144" t="s">
        <v>296</v>
      </c>
      <c r="G169" s="144" t="s">
        <v>296</v>
      </c>
      <c r="H169" s="127" t="s">
        <v>26</v>
      </c>
      <c r="I169" s="127" t="s">
        <v>26</v>
      </c>
      <c r="J169" s="290" t="s">
        <v>792</v>
      </c>
      <c r="K169" s="244"/>
      <c r="L169" s="263"/>
      <c r="M169" s="259"/>
      <c r="N169" s="304">
        <f t="shared" ref="N169" si="35">K169+L169+M169</f>
        <v>0</v>
      </c>
      <c r="O169" s="132"/>
      <c r="P169" s="132">
        <v>4532764</v>
      </c>
      <c r="Q169" s="132"/>
      <c r="R169" s="132"/>
      <c r="S169" s="132"/>
      <c r="T169" s="132"/>
      <c r="U169" s="182"/>
      <c r="V169" s="182"/>
      <c r="W169" s="110"/>
      <c r="X169" s="130"/>
      <c r="Y169" s="130">
        <f t="shared" ref="Y169" si="36">+L169+P169+S169-V169</f>
        <v>4532764</v>
      </c>
      <c r="Z169" s="130"/>
      <c r="AA169" s="303">
        <f t="shared" ref="AA169" si="37">+Y169+Z169+X169</f>
        <v>4532764</v>
      </c>
      <c r="AB169" s="236" t="s">
        <v>74</v>
      </c>
      <c r="AC169" s="144" t="s">
        <v>94</v>
      </c>
      <c r="AD169" s="127" t="s">
        <v>27</v>
      </c>
      <c r="AE169" s="144" t="s">
        <v>796</v>
      </c>
      <c r="AF169" s="144" t="s">
        <v>422</v>
      </c>
      <c r="AG169" s="144" t="s">
        <v>422</v>
      </c>
      <c r="AH169" s="137">
        <v>6</v>
      </c>
      <c r="AI169" s="137" t="s">
        <v>296</v>
      </c>
      <c r="AJ169" s="143" t="s">
        <v>418</v>
      </c>
      <c r="AK169" s="127">
        <f>Ejecución!V169</f>
        <v>0</v>
      </c>
      <c r="AL169" s="127">
        <f>Ejecución!W169</f>
        <v>0</v>
      </c>
      <c r="AM169" s="127">
        <f>Ejecución!Y169</f>
        <v>4006611</v>
      </c>
      <c r="AN169" s="127">
        <f>Ejecución!Z169</f>
        <v>526153</v>
      </c>
      <c r="AO169" s="127">
        <f>Ejecución!AB169</f>
        <v>0</v>
      </c>
      <c r="AP169" s="127">
        <f>Ejecución!AC169</f>
        <v>0</v>
      </c>
      <c r="AQ169" s="127">
        <f>Ejecución!X169</f>
        <v>0</v>
      </c>
      <c r="AR169" s="127">
        <f>Ejecución!AA169</f>
        <v>4006611</v>
      </c>
      <c r="AS169" s="127">
        <f>Ejecución!AD169</f>
        <v>0</v>
      </c>
      <c r="AT169" s="502" t="s">
        <v>836</v>
      </c>
    </row>
    <row r="170" spans="1:46" s="475" customFormat="1" ht="409.5" x14ac:dyDescent="0.25">
      <c r="A170" s="467" t="s">
        <v>500</v>
      </c>
      <c r="B170" s="109" t="s">
        <v>500</v>
      </c>
      <c r="C170" s="110" t="s">
        <v>496</v>
      </c>
      <c r="D170" s="143" t="s">
        <v>296</v>
      </c>
      <c r="E170" s="143" t="s">
        <v>296</v>
      </c>
      <c r="F170" s="143" t="s">
        <v>296</v>
      </c>
      <c r="G170" s="143" t="s">
        <v>296</v>
      </c>
      <c r="H170" s="127" t="s">
        <v>26</v>
      </c>
      <c r="I170" s="127" t="s">
        <v>26</v>
      </c>
      <c r="J170" s="294" t="s">
        <v>437</v>
      </c>
      <c r="K170" s="272">
        <v>300000</v>
      </c>
      <c r="L170" s="243"/>
      <c r="M170" s="238"/>
      <c r="N170" s="304">
        <f t="shared" si="32"/>
        <v>300000</v>
      </c>
      <c r="O170" s="132"/>
      <c r="P170" s="132">
        <v>1194121</v>
      </c>
      <c r="Q170" s="132"/>
      <c r="R170" s="132">
        <v>740154</v>
      </c>
      <c r="S170" s="132"/>
      <c r="T170" s="132"/>
      <c r="U170" s="182">
        <v>10000</v>
      </c>
      <c r="V170" s="182">
        <v>1664</v>
      </c>
      <c r="W170" s="110"/>
      <c r="X170" s="130">
        <f>+K170+O170+R170-U170</f>
        <v>1030154</v>
      </c>
      <c r="Y170" s="130">
        <f t="shared" si="33"/>
        <v>1192457</v>
      </c>
      <c r="Z170" s="130"/>
      <c r="AA170" s="303">
        <f t="shared" si="34"/>
        <v>2222611</v>
      </c>
      <c r="AB170" s="236" t="s">
        <v>74</v>
      </c>
      <c r="AC170" s="143" t="s">
        <v>94</v>
      </c>
      <c r="AD170" s="127" t="s">
        <v>27</v>
      </c>
      <c r="AE170" s="467">
        <v>44121600</v>
      </c>
      <c r="AF170" s="142" t="s">
        <v>422</v>
      </c>
      <c r="AG170" s="142" t="s">
        <v>797</v>
      </c>
      <c r="AH170" s="137">
        <v>6</v>
      </c>
      <c r="AI170" s="137" t="s">
        <v>503</v>
      </c>
      <c r="AJ170" s="143" t="s">
        <v>418</v>
      </c>
      <c r="AK170" s="127">
        <f>Ejecución!V170</f>
        <v>1030154</v>
      </c>
      <c r="AL170" s="127">
        <f>Ejecución!W170</f>
        <v>0</v>
      </c>
      <c r="AM170" s="127">
        <f>Ejecución!Y170</f>
        <v>1192457</v>
      </c>
      <c r="AN170" s="127">
        <f>Ejecución!Z170</f>
        <v>0</v>
      </c>
      <c r="AO170" s="127">
        <f>Ejecución!AB170</f>
        <v>0</v>
      </c>
      <c r="AP170" s="127">
        <f>Ejecución!AC170</f>
        <v>0</v>
      </c>
      <c r="AQ170" s="127">
        <f>Ejecución!X170</f>
        <v>0</v>
      </c>
      <c r="AR170" s="127">
        <f>Ejecución!AA170</f>
        <v>1192457</v>
      </c>
      <c r="AS170" s="127">
        <f>Ejecución!AD170</f>
        <v>0</v>
      </c>
      <c r="AT170" s="502" t="s">
        <v>1055</v>
      </c>
    </row>
    <row r="171" spans="1:46" s="475" customFormat="1" ht="357" x14ac:dyDescent="0.25">
      <c r="A171" s="467"/>
      <c r="B171" s="109"/>
      <c r="C171" s="110" t="s">
        <v>495</v>
      </c>
      <c r="D171" s="143" t="s">
        <v>296</v>
      </c>
      <c r="E171" s="143" t="s">
        <v>296</v>
      </c>
      <c r="F171" s="143" t="s">
        <v>296</v>
      </c>
      <c r="G171" s="143" t="s">
        <v>296</v>
      </c>
      <c r="H171" s="127" t="s">
        <v>26</v>
      </c>
      <c r="I171" s="127" t="s">
        <v>26</v>
      </c>
      <c r="J171" s="294" t="s">
        <v>742</v>
      </c>
      <c r="K171" s="272"/>
      <c r="L171" s="243"/>
      <c r="M171" s="238"/>
      <c r="N171" s="304"/>
      <c r="O171" s="132"/>
      <c r="P171" s="132">
        <v>4376427</v>
      </c>
      <c r="Q171" s="132"/>
      <c r="R171" s="132"/>
      <c r="S171" s="132"/>
      <c r="T171" s="132"/>
      <c r="U171" s="182"/>
      <c r="V171" s="182">
        <v>10000</v>
      </c>
      <c r="W171" s="110"/>
      <c r="X171" s="130"/>
      <c r="Y171" s="204">
        <f>+P171-V171</f>
        <v>4366427</v>
      </c>
      <c r="Z171" s="130"/>
      <c r="AA171" s="303">
        <f t="shared" si="34"/>
        <v>4366427</v>
      </c>
      <c r="AB171" s="236" t="s">
        <v>74</v>
      </c>
      <c r="AC171" s="143" t="s">
        <v>94</v>
      </c>
      <c r="AD171" s="127" t="s">
        <v>27</v>
      </c>
      <c r="AE171" s="467">
        <v>47121600</v>
      </c>
      <c r="AF171" s="142" t="s">
        <v>421</v>
      </c>
      <c r="AG171" s="142" t="s">
        <v>421</v>
      </c>
      <c r="AH171" s="137">
        <v>8</v>
      </c>
      <c r="AI171" s="137" t="s">
        <v>503</v>
      </c>
      <c r="AJ171" s="143" t="s">
        <v>418</v>
      </c>
      <c r="AK171" s="127">
        <f>Ejecución!V171</f>
        <v>0</v>
      </c>
      <c r="AL171" s="127">
        <f>Ejecución!W171</f>
        <v>0</v>
      </c>
      <c r="AM171" s="127">
        <f>Ejecución!Y171</f>
        <v>4366427</v>
      </c>
      <c r="AN171" s="127">
        <f>Ejecución!Z171</f>
        <v>0</v>
      </c>
      <c r="AO171" s="127">
        <f>Ejecución!AB171</f>
        <v>0</v>
      </c>
      <c r="AP171" s="127">
        <f>Ejecución!AC171</f>
        <v>0</v>
      </c>
      <c r="AQ171" s="127">
        <f>Ejecución!X171</f>
        <v>0</v>
      </c>
      <c r="AR171" s="127">
        <f>Ejecución!AA171</f>
        <v>3820627</v>
      </c>
      <c r="AS171" s="127">
        <f>Ejecución!AD171</f>
        <v>0</v>
      </c>
      <c r="AT171" s="502" t="s">
        <v>1035</v>
      </c>
    </row>
    <row r="172" spans="1:46" ht="409.5" x14ac:dyDescent="0.25">
      <c r="A172" s="467" t="s">
        <v>465</v>
      </c>
      <c r="B172" s="109" t="s">
        <v>465</v>
      </c>
      <c r="C172" s="110" t="s">
        <v>496</v>
      </c>
      <c r="D172" s="143" t="s">
        <v>296</v>
      </c>
      <c r="E172" s="143" t="s">
        <v>296</v>
      </c>
      <c r="F172" s="143" t="s">
        <v>296</v>
      </c>
      <c r="G172" s="143" t="s">
        <v>296</v>
      </c>
      <c r="H172" s="127" t="s">
        <v>26</v>
      </c>
      <c r="I172" s="127" t="s">
        <v>26</v>
      </c>
      <c r="J172" s="293" t="s">
        <v>466</v>
      </c>
      <c r="K172" s="469">
        <v>200000</v>
      </c>
      <c r="L172" s="240">
        <v>70000</v>
      </c>
      <c r="M172" s="238"/>
      <c r="N172" s="304">
        <f t="shared" si="32"/>
        <v>270000</v>
      </c>
      <c r="O172" s="132"/>
      <c r="P172" s="132"/>
      <c r="Q172" s="132"/>
      <c r="R172" s="132"/>
      <c r="S172" s="132"/>
      <c r="T172" s="132"/>
      <c r="U172" s="182">
        <v>200000</v>
      </c>
      <c r="V172" s="182">
        <v>70000</v>
      </c>
      <c r="W172" s="110"/>
      <c r="X172" s="244">
        <f>+K172-U172</f>
        <v>0</v>
      </c>
      <c r="Y172" s="130">
        <f>+L172+P172+S172-V172</f>
        <v>0</v>
      </c>
      <c r="Z172" s="130"/>
      <c r="AA172" s="303">
        <f t="shared" si="34"/>
        <v>0</v>
      </c>
      <c r="AB172" s="236" t="s">
        <v>74</v>
      </c>
      <c r="AC172" s="143" t="s">
        <v>94</v>
      </c>
      <c r="AD172" s="127" t="s">
        <v>27</v>
      </c>
      <c r="AE172" s="467"/>
      <c r="AF172" s="142" t="s">
        <v>420</v>
      </c>
      <c r="AG172" s="142" t="s">
        <v>420</v>
      </c>
      <c r="AH172" s="137">
        <v>10</v>
      </c>
      <c r="AI172" s="137" t="s">
        <v>503</v>
      </c>
      <c r="AJ172" s="143" t="s">
        <v>418</v>
      </c>
      <c r="AK172" s="127">
        <f>Ejecución!V172</f>
        <v>0</v>
      </c>
      <c r="AL172" s="127">
        <f>Ejecución!W172</f>
        <v>0</v>
      </c>
      <c r="AM172" s="127">
        <f>Ejecución!Y172</f>
        <v>0</v>
      </c>
      <c r="AN172" s="127">
        <f>Ejecución!Z172</f>
        <v>0</v>
      </c>
      <c r="AO172" s="127">
        <f>Ejecución!AB172</f>
        <v>0</v>
      </c>
      <c r="AP172" s="127">
        <f>Ejecución!AC172</f>
        <v>0</v>
      </c>
      <c r="AQ172" s="127">
        <f>Ejecución!X172</f>
        <v>0</v>
      </c>
      <c r="AR172" s="127">
        <f>Ejecución!AA172</f>
        <v>0</v>
      </c>
      <c r="AS172" s="127">
        <f>Ejecución!AD172</f>
        <v>0</v>
      </c>
      <c r="AT172" s="524" t="s">
        <v>1052</v>
      </c>
    </row>
    <row r="173" spans="1:46" s="139" customFormat="1" ht="409.5" x14ac:dyDescent="0.25">
      <c r="A173" s="467" t="s">
        <v>301</v>
      </c>
      <c r="B173" s="109" t="s">
        <v>301</v>
      </c>
      <c r="C173" s="467" t="s">
        <v>479</v>
      </c>
      <c r="D173" s="143" t="s">
        <v>296</v>
      </c>
      <c r="E173" s="143" t="s">
        <v>296</v>
      </c>
      <c r="F173" s="143" t="s">
        <v>296</v>
      </c>
      <c r="G173" s="143" t="s">
        <v>296</v>
      </c>
      <c r="H173" s="127" t="s">
        <v>26</v>
      </c>
      <c r="I173" s="127" t="s">
        <v>26</v>
      </c>
      <c r="J173" s="293" t="s">
        <v>433</v>
      </c>
      <c r="K173" s="469">
        <v>900000</v>
      </c>
      <c r="L173" s="243"/>
      <c r="M173" s="238"/>
      <c r="N173" s="304">
        <f t="shared" si="32"/>
        <v>900000</v>
      </c>
      <c r="O173" s="132"/>
      <c r="P173" s="132"/>
      <c r="Q173" s="132"/>
      <c r="R173" s="132"/>
      <c r="S173" s="132"/>
      <c r="T173" s="132"/>
      <c r="U173" s="521">
        <f>345611+297844</f>
        <v>643455</v>
      </c>
      <c r="V173" s="182"/>
      <c r="W173" s="110"/>
      <c r="X173" s="130">
        <f>+K173+O173+R173-U173</f>
        <v>256545</v>
      </c>
      <c r="Y173" s="110"/>
      <c r="Z173" s="130"/>
      <c r="AA173" s="303">
        <f t="shared" si="34"/>
        <v>256545</v>
      </c>
      <c r="AB173" s="236" t="s">
        <v>74</v>
      </c>
      <c r="AC173" s="143" t="s">
        <v>94</v>
      </c>
      <c r="AD173" s="127" t="s">
        <v>27</v>
      </c>
      <c r="AE173" s="467">
        <v>50161814</v>
      </c>
      <c r="AF173" s="142" t="s">
        <v>421</v>
      </c>
      <c r="AG173" s="142" t="s">
        <v>421</v>
      </c>
      <c r="AH173" s="137">
        <v>8</v>
      </c>
      <c r="AI173" s="137" t="s">
        <v>503</v>
      </c>
      <c r="AJ173" s="143" t="s">
        <v>418</v>
      </c>
      <c r="AK173" s="127">
        <f>Ejecución!V173</f>
        <v>256545</v>
      </c>
      <c r="AL173" s="127">
        <f>Ejecución!W173</f>
        <v>0</v>
      </c>
      <c r="AM173" s="127">
        <f>Ejecución!Y173</f>
        <v>0</v>
      </c>
      <c r="AN173" s="127">
        <f>Ejecución!Z173</f>
        <v>0</v>
      </c>
      <c r="AO173" s="127">
        <f>Ejecución!AB173</f>
        <v>0</v>
      </c>
      <c r="AP173" s="127">
        <f>Ejecución!AC173</f>
        <v>0</v>
      </c>
      <c r="AQ173" s="127">
        <f>Ejecución!X173</f>
        <v>0</v>
      </c>
      <c r="AR173" s="127">
        <f>Ejecución!AA173</f>
        <v>0</v>
      </c>
      <c r="AS173" s="127">
        <f>Ejecución!AD173</f>
        <v>0</v>
      </c>
      <c r="AT173" s="502" t="s">
        <v>1048</v>
      </c>
    </row>
    <row r="174" spans="1:46" s="475" customFormat="1" ht="409.5" x14ac:dyDescent="0.25">
      <c r="A174" s="467" t="s">
        <v>391</v>
      </c>
      <c r="B174" s="109" t="s">
        <v>391</v>
      </c>
      <c r="C174" s="467" t="s">
        <v>479</v>
      </c>
      <c r="D174" s="143" t="s">
        <v>296</v>
      </c>
      <c r="E174" s="143" t="s">
        <v>296</v>
      </c>
      <c r="F174" s="143" t="s">
        <v>296</v>
      </c>
      <c r="G174" s="143" t="s">
        <v>296</v>
      </c>
      <c r="H174" s="140" t="s">
        <v>26</v>
      </c>
      <c r="I174" s="140" t="s">
        <v>26</v>
      </c>
      <c r="J174" s="291" t="s">
        <v>453</v>
      </c>
      <c r="K174" s="273">
        <v>660000</v>
      </c>
      <c r="L174" s="238"/>
      <c r="M174" s="238"/>
      <c r="N174" s="304">
        <f t="shared" si="32"/>
        <v>660000</v>
      </c>
      <c r="O174" s="132"/>
      <c r="P174" s="132"/>
      <c r="Q174" s="132"/>
      <c r="R174" s="132"/>
      <c r="S174" s="132"/>
      <c r="T174" s="132"/>
      <c r="U174" s="521">
        <v>340610</v>
      </c>
      <c r="V174" s="182"/>
      <c r="W174" s="110"/>
      <c r="X174" s="130">
        <f>+N174-U174</f>
        <v>319390</v>
      </c>
      <c r="Y174" s="476"/>
      <c r="Z174" s="130"/>
      <c r="AA174" s="303">
        <f t="shared" si="34"/>
        <v>319390</v>
      </c>
      <c r="AB174" s="236" t="s">
        <v>74</v>
      </c>
      <c r="AC174" s="143" t="s">
        <v>308</v>
      </c>
      <c r="AD174" s="143" t="s">
        <v>296</v>
      </c>
      <c r="AE174" s="143" t="s">
        <v>296</v>
      </c>
      <c r="AF174" s="144" t="s">
        <v>296</v>
      </c>
      <c r="AG174" s="144" t="s">
        <v>296</v>
      </c>
      <c r="AH174" s="137" t="s">
        <v>296</v>
      </c>
      <c r="AI174" s="137" t="s">
        <v>296</v>
      </c>
      <c r="AJ174" s="140" t="s">
        <v>25</v>
      </c>
      <c r="AK174" s="127">
        <f>Ejecución!V174</f>
        <v>139390</v>
      </c>
      <c r="AL174" s="127">
        <f>Ejecución!W174</f>
        <v>180000</v>
      </c>
      <c r="AM174" s="127">
        <f>Ejecución!Y174</f>
        <v>0</v>
      </c>
      <c r="AN174" s="127">
        <f>Ejecución!Z174</f>
        <v>0</v>
      </c>
      <c r="AO174" s="127">
        <f>Ejecución!AB174</f>
        <v>0</v>
      </c>
      <c r="AP174" s="127">
        <f>Ejecución!AC174</f>
        <v>0</v>
      </c>
      <c r="AQ174" s="127">
        <f>Ejecución!X174</f>
        <v>139390</v>
      </c>
      <c r="AR174" s="127">
        <f>Ejecución!AA174</f>
        <v>0</v>
      </c>
      <c r="AS174" s="127">
        <f>Ejecución!AD174</f>
        <v>0</v>
      </c>
      <c r="AT174" s="511" t="s">
        <v>1047</v>
      </c>
    </row>
    <row r="175" spans="1:46" s="139" customFormat="1" ht="165" customHeight="1" x14ac:dyDescent="0.25">
      <c r="A175" s="264" t="s">
        <v>303</v>
      </c>
      <c r="B175" s="228" t="s">
        <v>303</v>
      </c>
      <c r="C175" s="110" t="s">
        <v>479</v>
      </c>
      <c r="D175" s="143" t="s">
        <v>296</v>
      </c>
      <c r="E175" s="143" t="s">
        <v>296</v>
      </c>
      <c r="F175" s="143" t="s">
        <v>296</v>
      </c>
      <c r="G175" s="144" t="s">
        <v>296</v>
      </c>
      <c r="H175" s="127" t="s">
        <v>26</v>
      </c>
      <c r="I175" s="127" t="s">
        <v>26</v>
      </c>
      <c r="J175" s="293" t="s">
        <v>434</v>
      </c>
      <c r="K175" s="274">
        <v>2800000</v>
      </c>
      <c r="L175" s="209"/>
      <c r="M175" s="267"/>
      <c r="N175" s="304">
        <f t="shared" si="32"/>
        <v>2800000</v>
      </c>
      <c r="O175" s="132"/>
      <c r="P175" s="132"/>
      <c r="Q175" s="132"/>
      <c r="R175" s="132">
        <f>345611+739937</f>
        <v>1085548</v>
      </c>
      <c r="S175" s="132"/>
      <c r="T175" s="132"/>
      <c r="U175" s="182"/>
      <c r="V175" s="182"/>
      <c r="W175" s="110"/>
      <c r="X175" s="130">
        <f>+K175+O175+R175-U175</f>
        <v>3885548</v>
      </c>
      <c r="Y175" s="110"/>
      <c r="Z175" s="130"/>
      <c r="AA175" s="303">
        <f t="shared" si="34"/>
        <v>3885548</v>
      </c>
      <c r="AB175" s="236" t="s">
        <v>74</v>
      </c>
      <c r="AC175" s="143" t="s">
        <v>94</v>
      </c>
      <c r="AD175" s="127" t="s">
        <v>27</v>
      </c>
      <c r="AE175" s="467">
        <v>50201706</v>
      </c>
      <c r="AF175" s="142" t="s">
        <v>421</v>
      </c>
      <c r="AG175" s="142" t="s">
        <v>421</v>
      </c>
      <c r="AH175" s="137">
        <v>8</v>
      </c>
      <c r="AI175" s="137" t="s">
        <v>503</v>
      </c>
      <c r="AJ175" s="143" t="s">
        <v>418</v>
      </c>
      <c r="AK175" s="127">
        <f>Ejecución!V175</f>
        <v>3885548</v>
      </c>
      <c r="AL175" s="127">
        <f>Ejecución!W175</f>
        <v>0</v>
      </c>
      <c r="AM175" s="127">
        <f>Ejecución!Y175</f>
        <v>0</v>
      </c>
      <c r="AN175" s="127">
        <f>Ejecución!Z175</f>
        <v>0</v>
      </c>
      <c r="AO175" s="127">
        <f>Ejecución!AB175</f>
        <v>0</v>
      </c>
      <c r="AP175" s="127">
        <f>Ejecución!AC175</f>
        <v>0</v>
      </c>
      <c r="AQ175" s="127">
        <f>Ejecución!X175</f>
        <v>2754785</v>
      </c>
      <c r="AR175" s="127">
        <f>Ejecución!AA175</f>
        <v>0</v>
      </c>
      <c r="AS175" s="127">
        <f>Ejecución!AD175</f>
        <v>0</v>
      </c>
      <c r="AT175" s="505" t="s">
        <v>744</v>
      </c>
    </row>
    <row r="176" spans="1:46" s="139" customFormat="1" ht="409.5" x14ac:dyDescent="0.25">
      <c r="A176" s="467" t="s">
        <v>304</v>
      </c>
      <c r="B176" s="109" t="s">
        <v>717</v>
      </c>
      <c r="C176" s="467" t="s">
        <v>479</v>
      </c>
      <c r="D176" s="143" t="s">
        <v>296</v>
      </c>
      <c r="E176" s="143" t="s">
        <v>296</v>
      </c>
      <c r="F176" s="143" t="s">
        <v>296</v>
      </c>
      <c r="G176" s="144" t="s">
        <v>296</v>
      </c>
      <c r="H176" s="127" t="s">
        <v>33</v>
      </c>
      <c r="I176" s="127" t="s">
        <v>462</v>
      </c>
      <c r="J176" s="295" t="s">
        <v>302</v>
      </c>
      <c r="K176" s="469">
        <v>12325649</v>
      </c>
      <c r="L176" s="243">
        <v>1421351</v>
      </c>
      <c r="M176" s="238"/>
      <c r="N176" s="304">
        <f t="shared" si="32"/>
        <v>13747000</v>
      </c>
      <c r="O176" s="132"/>
      <c r="P176" s="132"/>
      <c r="Q176" s="132"/>
      <c r="R176" s="132">
        <f>3578346+4626000</f>
        <v>8204346</v>
      </c>
      <c r="S176" s="132">
        <v>1421654</v>
      </c>
      <c r="T176" s="132"/>
      <c r="U176" s="182">
        <v>608636</v>
      </c>
      <c r="V176" s="182">
        <f>2064370+778635</f>
        <v>2843005</v>
      </c>
      <c r="W176" s="110"/>
      <c r="X176" s="244">
        <f>+K176+O176+R176-U176</f>
        <v>19921359</v>
      </c>
      <c r="Y176" s="245">
        <f>+L176+P176+S176-V176</f>
        <v>0</v>
      </c>
      <c r="Z176" s="130"/>
      <c r="AA176" s="303">
        <f t="shared" si="34"/>
        <v>19921359</v>
      </c>
      <c r="AB176" s="236" t="s">
        <v>74</v>
      </c>
      <c r="AC176" s="143" t="s">
        <v>94</v>
      </c>
      <c r="AD176" s="127" t="s">
        <v>103</v>
      </c>
      <c r="AE176" s="467"/>
      <c r="AF176" s="159" t="s">
        <v>714</v>
      </c>
      <c r="AG176" s="159" t="s">
        <v>714</v>
      </c>
      <c r="AH176" s="467">
        <v>1</v>
      </c>
      <c r="AI176" s="137" t="s">
        <v>503</v>
      </c>
      <c r="AJ176" s="143" t="s">
        <v>418</v>
      </c>
      <c r="AK176" s="127">
        <f>Ejecución!V176</f>
        <v>17608000</v>
      </c>
      <c r="AL176" s="127">
        <f>Ejecución!W176</f>
        <v>2313359</v>
      </c>
      <c r="AM176" s="127">
        <f>Ejecución!Y176</f>
        <v>0</v>
      </c>
      <c r="AN176" s="127">
        <f>Ejecución!Z176</f>
        <v>0</v>
      </c>
      <c r="AO176" s="127">
        <f>Ejecución!AB176</f>
        <v>0</v>
      </c>
      <c r="AP176" s="127">
        <f>Ejecución!AC176</f>
        <v>0</v>
      </c>
      <c r="AQ176" s="127">
        <f>Ejecución!X176</f>
        <v>17608000</v>
      </c>
      <c r="AR176" s="127">
        <f>Ejecución!AA176</f>
        <v>0</v>
      </c>
      <c r="AS176" s="127">
        <f>Ejecución!AD176</f>
        <v>0</v>
      </c>
      <c r="AT176" s="502" t="s">
        <v>1051</v>
      </c>
    </row>
    <row r="177" spans="1:46" s="139" customFormat="1" ht="409.5" x14ac:dyDescent="0.25">
      <c r="A177" s="275" t="s">
        <v>332</v>
      </c>
      <c r="B177" s="276" t="s">
        <v>332</v>
      </c>
      <c r="C177" s="231" t="s">
        <v>478</v>
      </c>
      <c r="D177" s="143" t="s">
        <v>296</v>
      </c>
      <c r="E177" s="143" t="s">
        <v>296</v>
      </c>
      <c r="F177" s="143" t="s">
        <v>296</v>
      </c>
      <c r="G177" s="143" t="s">
        <v>296</v>
      </c>
      <c r="H177" s="127" t="s">
        <v>26</v>
      </c>
      <c r="I177" s="127" t="s">
        <v>26</v>
      </c>
      <c r="J177" s="293" t="s">
        <v>432</v>
      </c>
      <c r="K177" s="469"/>
      <c r="L177" s="277">
        <v>250000</v>
      </c>
      <c r="M177" s="238"/>
      <c r="N177" s="304">
        <f t="shared" si="32"/>
        <v>250000</v>
      </c>
      <c r="O177" s="132"/>
      <c r="P177" s="132"/>
      <c r="Q177" s="132"/>
      <c r="R177" s="132"/>
      <c r="S177" s="132"/>
      <c r="T177" s="132"/>
      <c r="U177" s="182"/>
      <c r="V177" s="182">
        <v>110814</v>
      </c>
      <c r="W177" s="110"/>
      <c r="X177" s="130"/>
      <c r="Y177" s="130">
        <f>+L177-V177</f>
        <v>139186</v>
      </c>
      <c r="Z177" s="130"/>
      <c r="AA177" s="303">
        <f t="shared" si="34"/>
        <v>139186</v>
      </c>
      <c r="AB177" s="236" t="s">
        <v>74</v>
      </c>
      <c r="AC177" s="143" t="s">
        <v>94</v>
      </c>
      <c r="AD177" s="127" t="s">
        <v>27</v>
      </c>
      <c r="AE177" s="467">
        <v>50201713</v>
      </c>
      <c r="AF177" s="142" t="s">
        <v>421</v>
      </c>
      <c r="AG177" s="142" t="s">
        <v>421</v>
      </c>
      <c r="AH177" s="137">
        <v>8</v>
      </c>
      <c r="AI177" s="137" t="s">
        <v>503</v>
      </c>
      <c r="AJ177" s="143" t="s">
        <v>418</v>
      </c>
      <c r="AK177" s="127">
        <f>Ejecución!V177</f>
        <v>0</v>
      </c>
      <c r="AL177" s="127">
        <f>Ejecución!W177</f>
        <v>0</v>
      </c>
      <c r="AM177" s="127">
        <f>Ejecución!Y177</f>
        <v>139186</v>
      </c>
      <c r="AN177" s="127">
        <f>Ejecución!Z177</f>
        <v>0</v>
      </c>
      <c r="AO177" s="127">
        <f>Ejecución!AB177</f>
        <v>0</v>
      </c>
      <c r="AP177" s="127">
        <f>Ejecución!AC177</f>
        <v>0</v>
      </c>
      <c r="AQ177" s="127">
        <f>Ejecución!X177</f>
        <v>0</v>
      </c>
      <c r="AR177" s="127">
        <f>Ejecución!AA177</f>
        <v>0</v>
      </c>
      <c r="AS177" s="127">
        <f>Ejecución!AD177</f>
        <v>0</v>
      </c>
      <c r="AT177" s="524" t="s">
        <v>1050</v>
      </c>
    </row>
    <row r="178" spans="1:46" s="139" customFormat="1" ht="138" customHeight="1" x14ac:dyDescent="0.25">
      <c r="A178" s="275"/>
      <c r="B178" s="276"/>
      <c r="C178" s="231" t="s">
        <v>477</v>
      </c>
      <c r="D178" s="143" t="s">
        <v>296</v>
      </c>
      <c r="E178" s="143" t="s">
        <v>296</v>
      </c>
      <c r="F178" s="143" t="s">
        <v>296</v>
      </c>
      <c r="G178" s="143" t="s">
        <v>296</v>
      </c>
      <c r="H178" s="127" t="s">
        <v>17</v>
      </c>
      <c r="I178" s="127" t="s">
        <v>17</v>
      </c>
      <c r="J178" s="293" t="s">
        <v>1085</v>
      </c>
      <c r="K178" s="469"/>
      <c r="L178" s="277"/>
      <c r="M178" s="238"/>
      <c r="N178" s="304"/>
      <c r="O178" s="132"/>
      <c r="P178" s="132">
        <v>11626400</v>
      </c>
      <c r="Q178" s="132"/>
      <c r="R178" s="132"/>
      <c r="S178" s="132"/>
      <c r="T178" s="132"/>
      <c r="U178" s="182"/>
      <c r="V178" s="182"/>
      <c r="W178" s="110"/>
      <c r="X178" s="130"/>
      <c r="Y178" s="130"/>
      <c r="Z178" s="130"/>
      <c r="AA178" s="303">
        <f>+P178</f>
        <v>11626400</v>
      </c>
      <c r="AB178" s="236"/>
      <c r="AC178" s="143" t="s">
        <v>21</v>
      </c>
      <c r="AD178" s="127" t="s">
        <v>1094</v>
      </c>
      <c r="AE178" s="112" t="s">
        <v>1093</v>
      </c>
      <c r="AF178" s="142" t="s">
        <v>425</v>
      </c>
      <c r="AG178" s="142" t="s">
        <v>425</v>
      </c>
      <c r="AH178" s="137">
        <v>1</v>
      </c>
      <c r="AI178" s="137">
        <v>1</v>
      </c>
      <c r="AJ178" s="143" t="s">
        <v>418</v>
      </c>
      <c r="AK178" s="127">
        <f>Ejecución!V178</f>
        <v>0</v>
      </c>
      <c r="AL178" s="127">
        <f>Ejecución!W178</f>
        <v>0</v>
      </c>
      <c r="AM178" s="127">
        <f>Ejecución!Y178</f>
        <v>11600596</v>
      </c>
      <c r="AN178" s="127">
        <f>Ejecución!Z178</f>
        <v>25804</v>
      </c>
      <c r="AO178" s="127">
        <f>Ejecución!AB178</f>
        <v>0</v>
      </c>
      <c r="AP178" s="127">
        <f>Ejecución!AC178</f>
        <v>0</v>
      </c>
      <c r="AQ178" s="127">
        <f>Ejecución!X178</f>
        <v>0</v>
      </c>
      <c r="AR178" s="127">
        <f>Ejecución!AA178</f>
        <v>0</v>
      </c>
      <c r="AS178" s="127">
        <f>Ejecución!AD178</f>
        <v>0</v>
      </c>
      <c r="AT178" s="502" t="s">
        <v>1087</v>
      </c>
    </row>
    <row r="179" spans="1:46" ht="210" customHeight="1" x14ac:dyDescent="0.25">
      <c r="A179" s="467" t="s">
        <v>300</v>
      </c>
      <c r="B179" s="276">
        <v>1706611</v>
      </c>
      <c r="C179" s="231" t="s">
        <v>477</v>
      </c>
      <c r="D179" s="143" t="s">
        <v>296</v>
      </c>
      <c r="E179" s="143" t="s">
        <v>296</v>
      </c>
      <c r="F179" s="143" t="s">
        <v>296</v>
      </c>
      <c r="G179" s="143" t="s">
        <v>296</v>
      </c>
      <c r="H179" s="127" t="s">
        <v>26</v>
      </c>
      <c r="I179" s="127" t="s">
        <v>26</v>
      </c>
      <c r="J179" s="293" t="s">
        <v>1031</v>
      </c>
      <c r="K179" s="469"/>
      <c r="L179" s="243">
        <v>18000000</v>
      </c>
      <c r="M179" s="238"/>
      <c r="N179" s="304">
        <f>K179+L179+M179</f>
        <v>18000000</v>
      </c>
      <c r="O179" s="132"/>
      <c r="P179" s="132"/>
      <c r="Q179" s="132"/>
      <c r="R179" s="132"/>
      <c r="S179" s="132">
        <v>12000000</v>
      </c>
      <c r="T179" s="132"/>
      <c r="U179" s="182"/>
      <c r="V179" s="182">
        <v>11626400</v>
      </c>
      <c r="W179" s="110"/>
      <c r="X179" s="130"/>
      <c r="Y179" s="130">
        <f>+L179+S179-V179</f>
        <v>18373600</v>
      </c>
      <c r="Z179" s="130"/>
      <c r="AA179" s="303">
        <f t="shared" si="34"/>
        <v>18373600</v>
      </c>
      <c r="AB179" s="236" t="s">
        <v>74</v>
      </c>
      <c r="AC179" s="143" t="s">
        <v>94</v>
      </c>
      <c r="AD179" s="127" t="s">
        <v>27</v>
      </c>
      <c r="AE179" s="112" t="s">
        <v>1032</v>
      </c>
      <c r="AF179" s="142" t="s">
        <v>925</v>
      </c>
      <c r="AG179" s="142" t="s">
        <v>925</v>
      </c>
      <c r="AH179" s="136">
        <v>2</v>
      </c>
      <c r="AI179" s="137" t="s">
        <v>503</v>
      </c>
      <c r="AJ179" s="143" t="s">
        <v>418</v>
      </c>
      <c r="AK179" s="127">
        <f>Ejecución!V179</f>
        <v>0</v>
      </c>
      <c r="AL179" s="127">
        <f>Ejecución!W179</f>
        <v>0</v>
      </c>
      <c r="AM179" s="127">
        <f>Ejecución!Y179</f>
        <v>18373600</v>
      </c>
      <c r="AN179" s="127">
        <f>Ejecución!Z179</f>
        <v>0</v>
      </c>
      <c r="AO179" s="127">
        <f>Ejecución!AB179</f>
        <v>0</v>
      </c>
      <c r="AP179" s="127">
        <f>Ejecución!AC179</f>
        <v>0</v>
      </c>
      <c r="AQ179" s="127">
        <f>Ejecución!X179</f>
        <v>0</v>
      </c>
      <c r="AR179" s="127">
        <f>Ejecución!AA179</f>
        <v>0</v>
      </c>
      <c r="AS179" s="127">
        <f>Ejecución!AD179</f>
        <v>0</v>
      </c>
      <c r="AT179" s="502" t="s">
        <v>1086</v>
      </c>
    </row>
    <row r="180" spans="1:46" s="105" customFormat="1" ht="60" x14ac:dyDescent="0.25">
      <c r="A180" s="467" t="s">
        <v>643</v>
      </c>
      <c r="B180" s="109" t="s">
        <v>643</v>
      </c>
      <c r="C180" s="467" t="s">
        <v>654</v>
      </c>
      <c r="D180" s="467"/>
      <c r="E180" s="467"/>
      <c r="F180" s="467"/>
      <c r="G180" s="467"/>
      <c r="H180" s="467"/>
      <c r="I180" s="467"/>
      <c r="J180" s="265" t="s">
        <v>647</v>
      </c>
      <c r="K180" s="469">
        <v>310000000</v>
      </c>
      <c r="L180" s="469"/>
      <c r="M180" s="469"/>
      <c r="N180" s="304">
        <f t="shared" ref="N180:N183" si="38">K180+L180+M180</f>
        <v>310000000</v>
      </c>
      <c r="O180" s="132"/>
      <c r="P180" s="132"/>
      <c r="Q180" s="132"/>
      <c r="R180" s="132"/>
      <c r="S180" s="132"/>
      <c r="T180" s="132"/>
      <c r="U180" s="110"/>
      <c r="V180" s="110"/>
      <c r="W180" s="110"/>
      <c r="X180" s="130">
        <v>310000000</v>
      </c>
      <c r="Y180" s="110"/>
      <c r="Z180" s="130"/>
      <c r="AA180" s="303">
        <f t="shared" si="34"/>
        <v>310000000</v>
      </c>
      <c r="AB180" s="236" t="s">
        <v>74</v>
      </c>
      <c r="AC180" s="278" t="s">
        <v>639</v>
      </c>
      <c r="AD180" s="143" t="s">
        <v>296</v>
      </c>
      <c r="AE180" s="143" t="s">
        <v>296</v>
      </c>
      <c r="AF180" s="144" t="s">
        <v>296</v>
      </c>
      <c r="AG180" s="144" t="s">
        <v>296</v>
      </c>
      <c r="AH180" s="137" t="s">
        <v>296</v>
      </c>
      <c r="AI180" s="137" t="s">
        <v>296</v>
      </c>
      <c r="AJ180" s="143" t="s">
        <v>25</v>
      </c>
      <c r="AK180" s="127">
        <f>Ejecución!V180</f>
        <v>0</v>
      </c>
      <c r="AL180" s="127">
        <f>Ejecución!W180</f>
        <v>310000000</v>
      </c>
      <c r="AM180" s="127">
        <f>Ejecución!Y180</f>
        <v>0</v>
      </c>
      <c r="AN180" s="127">
        <f>Ejecución!Z180</f>
        <v>0</v>
      </c>
      <c r="AO180" s="127">
        <f>Ejecución!AB180</f>
        <v>0</v>
      </c>
      <c r="AP180" s="127">
        <f>Ejecución!AC180</f>
        <v>0</v>
      </c>
      <c r="AQ180" s="127">
        <f>Ejecución!X180</f>
        <v>0</v>
      </c>
      <c r="AR180" s="127">
        <f>Ejecución!AA180</f>
        <v>0</v>
      </c>
      <c r="AS180" s="127">
        <f>Ejecución!AD180</f>
        <v>0</v>
      </c>
      <c r="AT180" s="512"/>
    </row>
    <row r="181" spans="1:46" s="105" customFormat="1" ht="240" x14ac:dyDescent="0.25">
      <c r="A181" s="467" t="s">
        <v>644</v>
      </c>
      <c r="B181" s="109" t="s">
        <v>644</v>
      </c>
      <c r="C181" s="467" t="s">
        <v>648</v>
      </c>
      <c r="D181" s="143" t="s">
        <v>296</v>
      </c>
      <c r="E181" s="143" t="s">
        <v>296</v>
      </c>
      <c r="F181" s="143" t="s">
        <v>296</v>
      </c>
      <c r="G181" s="143" t="s">
        <v>296</v>
      </c>
      <c r="H181" s="127" t="s">
        <v>26</v>
      </c>
      <c r="I181" s="127" t="s">
        <v>26</v>
      </c>
      <c r="J181" s="265" t="s">
        <v>640</v>
      </c>
      <c r="K181" s="469">
        <v>19000000</v>
      </c>
      <c r="L181" s="469"/>
      <c r="M181" s="469"/>
      <c r="N181" s="304">
        <f t="shared" si="38"/>
        <v>19000000</v>
      </c>
      <c r="O181" s="132"/>
      <c r="P181" s="132"/>
      <c r="Q181" s="132"/>
      <c r="R181" s="132">
        <f>644000+444000</f>
        <v>1088000</v>
      </c>
      <c r="S181" s="132"/>
      <c r="T181" s="132"/>
      <c r="U181" s="110"/>
      <c r="V181" s="110"/>
      <c r="W181" s="110"/>
      <c r="X181" s="130">
        <f>+K181+O181+R181-U181</f>
        <v>20088000</v>
      </c>
      <c r="Y181" s="110"/>
      <c r="Z181" s="130"/>
      <c r="AA181" s="303">
        <f t="shared" si="34"/>
        <v>20088000</v>
      </c>
      <c r="AB181" s="236" t="s">
        <v>74</v>
      </c>
      <c r="AC181" s="278" t="s">
        <v>640</v>
      </c>
      <c r="AD181" s="143" t="s">
        <v>296</v>
      </c>
      <c r="AE181" s="143" t="s">
        <v>296</v>
      </c>
      <c r="AF181" s="144" t="s">
        <v>296</v>
      </c>
      <c r="AG181" s="144" t="s">
        <v>296</v>
      </c>
      <c r="AH181" s="137" t="s">
        <v>296</v>
      </c>
      <c r="AI181" s="137" t="s">
        <v>296</v>
      </c>
      <c r="AJ181" s="143" t="s">
        <v>25</v>
      </c>
      <c r="AK181" s="127">
        <f>Ejecución!V181</f>
        <v>20088000</v>
      </c>
      <c r="AL181" s="127">
        <f>Ejecución!W181</f>
        <v>0</v>
      </c>
      <c r="AM181" s="127">
        <f>Ejecución!Y181</f>
        <v>0</v>
      </c>
      <c r="AN181" s="127">
        <f>Ejecución!Z181</f>
        <v>0</v>
      </c>
      <c r="AO181" s="127">
        <f>Ejecución!AB181</f>
        <v>0</v>
      </c>
      <c r="AP181" s="127">
        <f>Ejecución!AC181</f>
        <v>0</v>
      </c>
      <c r="AQ181" s="127">
        <f>Ejecución!X181</f>
        <v>20088000</v>
      </c>
      <c r="AR181" s="127">
        <f>Ejecución!AA181</f>
        <v>0</v>
      </c>
      <c r="AS181" s="127">
        <f>Ejecución!AD181</f>
        <v>0</v>
      </c>
      <c r="AT181" s="112" t="s">
        <v>789</v>
      </c>
    </row>
    <row r="182" spans="1:46" s="105" customFormat="1" ht="120" x14ac:dyDescent="0.25">
      <c r="A182" s="467" t="s">
        <v>645</v>
      </c>
      <c r="B182" s="107" t="s">
        <v>645</v>
      </c>
      <c r="C182" s="110" t="s">
        <v>691</v>
      </c>
      <c r="D182" s="143" t="s">
        <v>296</v>
      </c>
      <c r="E182" s="143" t="s">
        <v>296</v>
      </c>
      <c r="F182" s="143" t="s">
        <v>296</v>
      </c>
      <c r="G182" s="143" t="s">
        <v>296</v>
      </c>
      <c r="H182" s="127" t="s">
        <v>26</v>
      </c>
      <c r="I182" s="127" t="s">
        <v>26</v>
      </c>
      <c r="J182" s="265" t="s">
        <v>641</v>
      </c>
      <c r="K182" s="469">
        <v>53000</v>
      </c>
      <c r="L182" s="469"/>
      <c r="M182" s="469"/>
      <c r="N182" s="304">
        <f t="shared" si="38"/>
        <v>53000</v>
      </c>
      <c r="O182" s="132"/>
      <c r="P182" s="132"/>
      <c r="Q182" s="132"/>
      <c r="R182" s="132">
        <v>2000</v>
      </c>
      <c r="S182" s="132"/>
      <c r="T182" s="132"/>
      <c r="U182" s="110"/>
      <c r="V182" s="110"/>
      <c r="W182" s="110"/>
      <c r="X182" s="130">
        <f>+K182+R182</f>
        <v>55000</v>
      </c>
      <c r="Y182" s="110"/>
      <c r="Z182" s="130"/>
      <c r="AA182" s="303">
        <f t="shared" si="34"/>
        <v>55000</v>
      </c>
      <c r="AB182" s="236" t="s">
        <v>74</v>
      </c>
      <c r="AC182" s="278" t="s">
        <v>641</v>
      </c>
      <c r="AD182" s="143" t="s">
        <v>296</v>
      </c>
      <c r="AE182" s="143" t="s">
        <v>296</v>
      </c>
      <c r="AF182" s="144" t="s">
        <v>296</v>
      </c>
      <c r="AG182" s="144" t="s">
        <v>296</v>
      </c>
      <c r="AH182" s="137" t="s">
        <v>296</v>
      </c>
      <c r="AI182" s="137" t="s">
        <v>296</v>
      </c>
      <c r="AJ182" s="143" t="s">
        <v>25</v>
      </c>
      <c r="AK182" s="127">
        <f>Ejecución!V182</f>
        <v>55000</v>
      </c>
      <c r="AL182" s="127">
        <f>Ejecución!W182</f>
        <v>0</v>
      </c>
      <c r="AM182" s="127">
        <f>Ejecución!Y182</f>
        <v>0</v>
      </c>
      <c r="AN182" s="127">
        <f>Ejecución!Z182</f>
        <v>0</v>
      </c>
      <c r="AO182" s="127">
        <f>Ejecución!AB182</f>
        <v>0</v>
      </c>
      <c r="AP182" s="127">
        <f>Ejecución!AC182</f>
        <v>0</v>
      </c>
      <c r="AQ182" s="127">
        <f>Ejecución!X182</f>
        <v>55000</v>
      </c>
      <c r="AR182" s="127">
        <f>Ejecución!AA182</f>
        <v>0</v>
      </c>
      <c r="AS182" s="127">
        <f>Ejecución!AD182</f>
        <v>0</v>
      </c>
      <c r="AT182" s="112" t="s">
        <v>937</v>
      </c>
    </row>
    <row r="183" spans="1:46" s="105" customFormat="1" ht="90" x14ac:dyDescent="0.25">
      <c r="A183" s="467" t="s">
        <v>646</v>
      </c>
      <c r="B183" s="109" t="s">
        <v>646</v>
      </c>
      <c r="C183" s="467" t="s">
        <v>692</v>
      </c>
      <c r="D183" s="143" t="s">
        <v>296</v>
      </c>
      <c r="E183" s="143" t="s">
        <v>296</v>
      </c>
      <c r="F183" s="143" t="s">
        <v>296</v>
      </c>
      <c r="G183" s="143" t="s">
        <v>296</v>
      </c>
      <c r="H183" s="127" t="s">
        <v>26</v>
      </c>
      <c r="I183" s="127" t="s">
        <v>26</v>
      </c>
      <c r="J183" s="265" t="s">
        <v>642</v>
      </c>
      <c r="K183" s="469">
        <v>9000000</v>
      </c>
      <c r="L183" s="469"/>
      <c r="M183" s="469"/>
      <c r="N183" s="304">
        <f t="shared" si="38"/>
        <v>9000000</v>
      </c>
      <c r="O183" s="132"/>
      <c r="P183" s="132"/>
      <c r="Q183" s="132"/>
      <c r="R183" s="587">
        <v>1681600</v>
      </c>
      <c r="S183" s="132"/>
      <c r="T183" s="132"/>
      <c r="U183" s="110"/>
      <c r="V183" s="110"/>
      <c r="W183" s="110"/>
      <c r="X183" s="130">
        <f>+N183+R183</f>
        <v>10681600</v>
      </c>
      <c r="Y183" s="110"/>
      <c r="Z183" s="130"/>
      <c r="AA183" s="303">
        <f t="shared" si="34"/>
        <v>10681600</v>
      </c>
      <c r="AB183" s="236" t="s">
        <v>74</v>
      </c>
      <c r="AC183" s="278" t="s">
        <v>642</v>
      </c>
      <c r="AD183" s="143" t="s">
        <v>296</v>
      </c>
      <c r="AE183" s="143" t="s">
        <v>296</v>
      </c>
      <c r="AF183" s="144" t="s">
        <v>296</v>
      </c>
      <c r="AG183" s="144" t="s">
        <v>296</v>
      </c>
      <c r="AH183" s="137" t="s">
        <v>296</v>
      </c>
      <c r="AI183" s="137" t="s">
        <v>296</v>
      </c>
      <c r="AJ183" s="143" t="s">
        <v>25</v>
      </c>
      <c r="AK183" s="127">
        <f>Ejecución!V183</f>
        <v>9000000</v>
      </c>
      <c r="AL183" s="127">
        <f>Ejecución!W183</f>
        <v>1681600</v>
      </c>
      <c r="AM183" s="127">
        <f>Ejecución!Y183</f>
        <v>0</v>
      </c>
      <c r="AN183" s="127">
        <f>Ejecución!Z183</f>
        <v>0</v>
      </c>
      <c r="AO183" s="127">
        <f>Ejecución!AB183</f>
        <v>0</v>
      </c>
      <c r="AP183" s="127">
        <f>Ejecución!AC183</f>
        <v>0</v>
      </c>
      <c r="AQ183" s="127">
        <f>Ejecución!X183</f>
        <v>9000000</v>
      </c>
      <c r="AR183" s="127">
        <f>Ejecución!AA183</f>
        <v>0</v>
      </c>
      <c r="AS183" s="127">
        <f>Ejecución!AD183</f>
        <v>0</v>
      </c>
      <c r="AT183" s="112" t="s">
        <v>1213</v>
      </c>
    </row>
    <row r="184" spans="1:46" ht="30" x14ac:dyDescent="0.25">
      <c r="J184" s="280"/>
      <c r="O184" s="282"/>
      <c r="P184" s="282"/>
      <c r="Q184" s="282"/>
      <c r="R184" s="282"/>
      <c r="S184" s="282"/>
      <c r="T184" s="282"/>
      <c r="U184" s="139"/>
      <c r="V184" s="139"/>
      <c r="W184" s="139"/>
      <c r="X184" s="139"/>
      <c r="Y184" s="282"/>
      <c r="Z184" s="282"/>
    </row>
    <row r="185" spans="1:46" ht="30" x14ac:dyDescent="0.25">
      <c r="J185" s="280"/>
      <c r="O185" s="282"/>
      <c r="P185" s="282"/>
      <c r="Q185" s="282"/>
      <c r="R185" s="282"/>
      <c r="S185" s="282"/>
      <c r="T185" s="282"/>
      <c r="U185" s="282"/>
      <c r="V185" s="282"/>
      <c r="W185" s="139"/>
      <c r="X185" s="139"/>
      <c r="Y185" s="282"/>
      <c r="Z185" s="282"/>
    </row>
    <row r="186" spans="1:46" x14ac:dyDescent="0.25">
      <c r="J186" s="296"/>
      <c r="O186" s="282"/>
      <c r="P186" s="282"/>
      <c r="Q186" s="282"/>
      <c r="R186" s="282"/>
      <c r="S186" s="282"/>
      <c r="T186" s="282"/>
      <c r="U186" s="282"/>
      <c r="V186" s="282"/>
      <c r="W186" s="139"/>
      <c r="X186" s="139"/>
      <c r="Y186" s="282"/>
      <c r="Z186" s="282"/>
      <c r="AT186" s="507"/>
    </row>
    <row r="187" spans="1:46" x14ac:dyDescent="0.25">
      <c r="A187" s="284"/>
      <c r="B187" s="542"/>
      <c r="C187" s="284"/>
      <c r="D187" s="284"/>
      <c r="E187" s="284"/>
      <c r="F187" s="284"/>
      <c r="G187" s="284"/>
      <c r="H187" s="284"/>
      <c r="I187" s="284"/>
      <c r="J187" s="297"/>
      <c r="K187" s="284"/>
      <c r="L187" s="284"/>
      <c r="M187" s="284"/>
      <c r="N187" s="284"/>
      <c r="O187" s="477"/>
      <c r="P187" s="477"/>
      <c r="Q187" s="477"/>
      <c r="R187" s="478"/>
      <c r="S187" s="478"/>
      <c r="T187" s="478"/>
      <c r="U187" s="478"/>
      <c r="V187" s="478"/>
      <c r="W187" s="477"/>
      <c r="X187" s="477"/>
      <c r="Y187" s="477"/>
      <c r="Z187" s="477"/>
      <c r="AB187" s="284"/>
      <c r="AC187" s="284"/>
      <c r="AD187" s="284"/>
      <c r="AE187" s="284"/>
      <c r="AF187" s="284"/>
      <c r="AG187" s="284"/>
      <c r="AH187" s="284"/>
      <c r="AI187" s="284"/>
      <c r="AJ187" s="284"/>
      <c r="AK187" s="284"/>
      <c r="AL187" s="284"/>
      <c r="AM187" s="284"/>
      <c r="AN187" s="284"/>
      <c r="AO187" s="284"/>
      <c r="AP187" s="284"/>
      <c r="AQ187" s="284"/>
      <c r="AR187" s="284"/>
      <c r="AS187" s="284"/>
      <c r="AT187" s="508"/>
    </row>
    <row r="188" spans="1:46" x14ac:dyDescent="0.25">
      <c r="A188" s="284"/>
      <c r="B188" s="542"/>
      <c r="C188" s="284"/>
      <c r="D188" s="284"/>
      <c r="E188" s="284"/>
      <c r="F188" s="284"/>
      <c r="G188" s="284"/>
      <c r="H188" s="284"/>
      <c r="I188" s="284"/>
      <c r="J188" s="297"/>
      <c r="K188" s="284"/>
      <c r="L188" s="284"/>
      <c r="M188" s="284"/>
      <c r="N188" s="284"/>
      <c r="O188" s="284"/>
      <c r="P188" s="284"/>
      <c r="Q188" s="284"/>
      <c r="R188" s="283"/>
      <c r="S188" s="283"/>
      <c r="T188" s="283"/>
      <c r="U188" s="283"/>
      <c r="V188" s="283"/>
      <c r="W188" s="284"/>
      <c r="X188" s="284"/>
      <c r="Y188" s="284"/>
      <c r="Z188" s="284"/>
      <c r="AB188" s="284"/>
      <c r="AC188" s="284"/>
      <c r="AD188" s="284"/>
      <c r="AE188" s="284"/>
      <c r="AF188" s="284"/>
      <c r="AG188" s="284"/>
      <c r="AH188" s="284"/>
      <c r="AI188" s="284"/>
      <c r="AJ188" s="284"/>
      <c r="AK188" s="284"/>
      <c r="AL188" s="284"/>
      <c r="AM188" s="284"/>
      <c r="AN188" s="284"/>
      <c r="AO188" s="284"/>
      <c r="AP188" s="284"/>
      <c r="AQ188" s="284"/>
      <c r="AR188" s="284"/>
      <c r="AS188" s="284"/>
      <c r="AT188" s="508"/>
    </row>
    <row r="189" spans="1:46" x14ac:dyDescent="0.25">
      <c r="A189" s="284"/>
      <c r="B189" s="542"/>
      <c r="C189" s="284"/>
      <c r="D189" s="284"/>
      <c r="E189" s="284"/>
      <c r="F189" s="284"/>
      <c r="G189" s="284"/>
      <c r="H189" s="284"/>
      <c r="I189" s="284"/>
      <c r="J189" s="297"/>
      <c r="K189" s="284"/>
      <c r="L189" s="284"/>
      <c r="M189" s="284"/>
      <c r="N189" s="284"/>
      <c r="O189" s="284"/>
      <c r="P189" s="284"/>
      <c r="Q189" s="284"/>
      <c r="R189" s="283"/>
      <c r="S189" s="283"/>
      <c r="T189" s="283"/>
      <c r="U189" s="283"/>
      <c r="V189" s="283"/>
      <c r="W189" s="284"/>
      <c r="X189" s="284"/>
      <c r="Y189" s="284"/>
      <c r="Z189" s="284"/>
      <c r="AB189" s="284"/>
      <c r="AC189" s="284"/>
      <c r="AD189" s="284"/>
      <c r="AE189" s="284"/>
      <c r="AF189" s="284"/>
      <c r="AG189" s="284"/>
      <c r="AH189" s="284"/>
      <c r="AI189" s="284"/>
      <c r="AJ189" s="284"/>
      <c r="AK189" s="284"/>
      <c r="AL189" s="284"/>
      <c r="AM189" s="284"/>
      <c r="AN189" s="284"/>
      <c r="AO189" s="284"/>
      <c r="AP189" s="284"/>
      <c r="AQ189" s="284"/>
      <c r="AR189" s="284"/>
      <c r="AS189" s="284"/>
    </row>
    <row r="190" spans="1:46" x14ac:dyDescent="0.25">
      <c r="A190" s="284"/>
      <c r="B190" s="542"/>
      <c r="C190" s="284"/>
      <c r="D190" s="284"/>
      <c r="E190" s="284"/>
      <c r="F190" s="284"/>
      <c r="G190" s="284"/>
      <c r="H190" s="284"/>
      <c r="I190" s="284"/>
      <c r="J190" s="297"/>
      <c r="K190" s="284"/>
      <c r="L190" s="284"/>
      <c r="M190" s="284"/>
      <c r="N190" s="284"/>
      <c r="O190" s="284"/>
      <c r="P190" s="284"/>
      <c r="Q190" s="284"/>
      <c r="R190" s="283"/>
      <c r="S190" s="283"/>
      <c r="T190" s="283"/>
      <c r="U190" s="283"/>
      <c r="V190" s="283"/>
      <c r="W190" s="284"/>
      <c r="X190" s="284"/>
      <c r="Y190" s="284"/>
      <c r="Z190" s="284"/>
      <c r="AA190" s="284"/>
      <c r="AB190" s="284"/>
      <c r="AC190" s="284"/>
      <c r="AD190" s="284"/>
      <c r="AE190" s="284"/>
      <c r="AF190" s="284"/>
      <c r="AG190" s="284"/>
      <c r="AH190" s="284"/>
      <c r="AI190" s="284"/>
      <c r="AJ190" s="284"/>
      <c r="AK190" s="284"/>
      <c r="AL190" s="284"/>
      <c r="AM190" s="284"/>
      <c r="AN190" s="284"/>
      <c r="AO190" s="284"/>
      <c r="AP190" s="284"/>
      <c r="AQ190" s="284"/>
      <c r="AR190" s="284"/>
      <c r="AS190" s="284"/>
    </row>
    <row r="191" spans="1:46" x14ac:dyDescent="0.25">
      <c r="E191" s="281"/>
      <c r="F191" s="281"/>
      <c r="G191" s="281"/>
      <c r="I191" s="281"/>
      <c r="J191" s="298"/>
      <c r="P191" s="282"/>
      <c r="Q191" s="282"/>
      <c r="R191" s="282"/>
      <c r="S191" s="282"/>
      <c r="T191" s="282"/>
      <c r="U191" s="282"/>
      <c r="V191" s="282"/>
    </row>
    <row r="192" spans="1:46" x14ac:dyDescent="0.25">
      <c r="E192" s="281"/>
      <c r="F192" s="281"/>
      <c r="G192" s="479"/>
      <c r="I192" s="281"/>
      <c r="J192" s="298"/>
      <c r="P192" s="282"/>
      <c r="Q192" s="282"/>
      <c r="R192" s="282"/>
      <c r="S192" s="282"/>
      <c r="T192" s="282"/>
      <c r="U192" s="282"/>
      <c r="V192" s="282"/>
    </row>
    <row r="193" spans="5:22" x14ac:dyDescent="0.25">
      <c r="E193" s="281"/>
      <c r="F193" s="281"/>
      <c r="G193" s="281"/>
      <c r="I193" s="281"/>
      <c r="J193" s="298"/>
      <c r="P193" s="282"/>
      <c r="Q193" s="282"/>
      <c r="R193" s="282"/>
      <c r="S193" s="282"/>
      <c r="T193" s="282"/>
      <c r="U193" s="282"/>
      <c r="V193" s="282"/>
    </row>
    <row r="194" spans="5:22" x14ac:dyDescent="0.25">
      <c r="E194" s="281"/>
      <c r="F194" s="281"/>
      <c r="G194" s="281"/>
      <c r="I194" s="281"/>
      <c r="J194" s="298"/>
      <c r="P194" s="282"/>
      <c r="Q194" s="282"/>
      <c r="R194" s="282"/>
      <c r="S194" s="282"/>
      <c r="T194" s="282"/>
      <c r="U194" s="282"/>
      <c r="V194" s="282"/>
    </row>
    <row r="195" spans="5:22" x14ac:dyDescent="0.25">
      <c r="E195" s="281"/>
      <c r="F195" s="281"/>
      <c r="G195" s="281"/>
      <c r="I195" s="281"/>
      <c r="J195" s="298"/>
      <c r="P195" s="282"/>
      <c r="Q195" s="282"/>
      <c r="R195" s="282"/>
      <c r="S195" s="282"/>
      <c r="T195" s="282"/>
      <c r="U195" s="282"/>
      <c r="V195" s="282"/>
    </row>
    <row r="196" spans="5:22" x14ac:dyDescent="0.25">
      <c r="E196" s="281"/>
      <c r="F196" s="281"/>
      <c r="G196" s="281"/>
      <c r="I196" s="281"/>
      <c r="J196" s="298"/>
      <c r="P196" s="282"/>
      <c r="Q196" s="282"/>
      <c r="R196" s="282"/>
      <c r="S196" s="282"/>
      <c r="T196" s="282"/>
      <c r="U196" s="282"/>
      <c r="V196" s="282"/>
    </row>
    <row r="197" spans="5:22" x14ac:dyDescent="0.25">
      <c r="P197" s="282"/>
      <c r="Q197" s="282"/>
      <c r="R197" s="282"/>
      <c r="S197" s="282"/>
      <c r="T197" s="282"/>
      <c r="U197" s="282"/>
      <c r="V197" s="282"/>
    </row>
    <row r="198" spans="5:22" x14ac:dyDescent="0.25">
      <c r="P198" s="282"/>
      <c r="Q198" s="282"/>
      <c r="R198" s="282"/>
      <c r="S198" s="282"/>
      <c r="T198" s="282"/>
      <c r="U198" s="282"/>
      <c r="V198" s="282"/>
    </row>
    <row r="199" spans="5:22" x14ac:dyDescent="0.25">
      <c r="P199" s="282"/>
      <c r="Q199" s="282"/>
      <c r="R199" s="282"/>
      <c r="S199" s="282"/>
      <c r="T199" s="282"/>
      <c r="U199" s="282"/>
      <c r="V199" s="282"/>
    </row>
    <row r="200" spans="5:22" x14ac:dyDescent="0.25">
      <c r="P200" s="282"/>
      <c r="Q200" s="282"/>
      <c r="R200" s="282"/>
      <c r="S200" s="282"/>
      <c r="T200" s="282"/>
      <c r="U200" s="282"/>
      <c r="V200" s="282"/>
    </row>
    <row r="201" spans="5:22" x14ac:dyDescent="0.25">
      <c r="P201" s="282"/>
      <c r="Q201" s="282"/>
      <c r="R201" s="282"/>
      <c r="S201" s="282"/>
      <c r="T201" s="282"/>
      <c r="U201" s="282"/>
      <c r="V201" s="282"/>
    </row>
    <row r="202" spans="5:22" x14ac:dyDescent="0.25">
      <c r="P202" s="282"/>
      <c r="Q202" s="282"/>
      <c r="R202" s="282"/>
      <c r="S202" s="282"/>
      <c r="T202" s="282"/>
      <c r="U202" s="282"/>
      <c r="V202" s="282"/>
    </row>
    <row r="203" spans="5:22" x14ac:dyDescent="0.25">
      <c r="P203" s="282"/>
      <c r="Q203" s="282"/>
      <c r="R203" s="282"/>
      <c r="S203" s="282"/>
      <c r="T203" s="282"/>
      <c r="U203" s="282"/>
      <c r="V203" s="282"/>
    </row>
    <row r="204" spans="5:22" x14ac:dyDescent="0.25">
      <c r="P204" s="282"/>
      <c r="Q204" s="282"/>
      <c r="R204" s="282"/>
      <c r="S204" s="282"/>
      <c r="T204" s="282"/>
      <c r="U204" s="282"/>
      <c r="V204" s="282"/>
    </row>
    <row r="205" spans="5:22" x14ac:dyDescent="0.25">
      <c r="P205" s="282"/>
      <c r="Q205" s="282"/>
      <c r="R205" s="282"/>
      <c r="S205" s="282"/>
      <c r="T205" s="282"/>
      <c r="U205" s="282"/>
      <c r="V205" s="282"/>
    </row>
    <row r="206" spans="5:22" x14ac:dyDescent="0.25">
      <c r="P206" s="282"/>
      <c r="Q206" s="282"/>
      <c r="R206" s="282"/>
      <c r="S206" s="282"/>
      <c r="T206" s="282"/>
      <c r="U206" s="282"/>
      <c r="V206" s="282"/>
    </row>
    <row r="207" spans="5:22" x14ac:dyDescent="0.25">
      <c r="P207" s="282"/>
      <c r="Q207" s="282"/>
      <c r="R207" s="282"/>
      <c r="S207" s="282"/>
      <c r="T207" s="282"/>
      <c r="U207" s="282"/>
      <c r="V207" s="282"/>
    </row>
    <row r="208" spans="5:22" x14ac:dyDescent="0.25">
      <c r="P208" s="282"/>
      <c r="Q208" s="282"/>
      <c r="R208" s="282"/>
      <c r="S208" s="282"/>
      <c r="T208" s="282"/>
      <c r="U208" s="282"/>
      <c r="V208" s="282"/>
    </row>
    <row r="209" spans="16:22" x14ac:dyDescent="0.25">
      <c r="P209" s="282"/>
      <c r="Q209" s="282"/>
      <c r="R209" s="282"/>
      <c r="S209" s="282"/>
      <c r="T209" s="282"/>
      <c r="U209" s="282"/>
      <c r="V209" s="282"/>
    </row>
    <row r="210" spans="16:22" x14ac:dyDescent="0.25">
      <c r="P210" s="282"/>
      <c r="Q210" s="282"/>
      <c r="R210" s="282"/>
      <c r="S210" s="282"/>
      <c r="T210" s="282"/>
      <c r="U210" s="282"/>
      <c r="V210" s="282"/>
    </row>
    <row r="211" spans="16:22" x14ac:dyDescent="0.25">
      <c r="P211" s="282"/>
      <c r="Q211" s="282"/>
      <c r="R211" s="282"/>
      <c r="S211" s="282"/>
      <c r="T211" s="282"/>
      <c r="U211" s="282"/>
      <c r="V211" s="282"/>
    </row>
  </sheetData>
  <sheetProtection selectLockedCells="1" selectUnlockedCells="1"/>
  <autoFilter ref="A7:AT183"/>
  <sortState ref="A9:AI138">
    <sortCondition descending="1" ref="D9:D138"/>
    <sortCondition descending="1" ref="H9:H138"/>
    <sortCondition ref="G9:G138"/>
  </sortState>
  <conditionalFormatting sqref="J122">
    <cfRule type="duplicateValues" dxfId="47" priority="74"/>
  </conditionalFormatting>
  <conditionalFormatting sqref="A147">
    <cfRule type="duplicateValues" dxfId="46" priority="73"/>
  </conditionalFormatting>
  <conditionalFormatting sqref="J130">
    <cfRule type="duplicateValues" dxfId="45" priority="72"/>
  </conditionalFormatting>
  <conditionalFormatting sqref="J62">
    <cfRule type="duplicateValues" dxfId="44" priority="70"/>
  </conditionalFormatting>
  <conditionalFormatting sqref="J30">
    <cfRule type="duplicateValues" dxfId="43" priority="69"/>
  </conditionalFormatting>
  <conditionalFormatting sqref="J93 J33">
    <cfRule type="duplicateValues" dxfId="42" priority="66"/>
  </conditionalFormatting>
  <conditionalFormatting sqref="J161">
    <cfRule type="duplicateValues" dxfId="41" priority="65"/>
  </conditionalFormatting>
  <conditionalFormatting sqref="A179 A155:A156">
    <cfRule type="duplicateValues" dxfId="40" priority="107"/>
  </conditionalFormatting>
  <conditionalFormatting sqref="B147">
    <cfRule type="duplicateValues" dxfId="39" priority="53"/>
  </conditionalFormatting>
  <conditionalFormatting sqref="B155:B156">
    <cfRule type="duplicateValues" dxfId="38" priority="54"/>
  </conditionalFormatting>
  <conditionalFormatting sqref="J70">
    <cfRule type="duplicateValues" dxfId="37" priority="50"/>
  </conditionalFormatting>
  <conditionalFormatting sqref="J72:J75">
    <cfRule type="duplicateValues" dxfId="36" priority="48"/>
  </conditionalFormatting>
  <conditionalFormatting sqref="J72:J75">
    <cfRule type="duplicateValues" dxfId="35" priority="49"/>
  </conditionalFormatting>
  <conditionalFormatting sqref="J88">
    <cfRule type="duplicateValues" dxfId="34" priority="46"/>
  </conditionalFormatting>
  <conditionalFormatting sqref="J88">
    <cfRule type="duplicateValues" dxfId="33" priority="47"/>
  </conditionalFormatting>
  <conditionalFormatting sqref="J61">
    <cfRule type="duplicateValues" dxfId="32" priority="44"/>
  </conditionalFormatting>
  <conditionalFormatting sqref="J61">
    <cfRule type="duplicateValues" dxfId="31" priority="45"/>
  </conditionalFormatting>
  <conditionalFormatting sqref="AC180:AC183">
    <cfRule type="duplicateValues" dxfId="30" priority="34"/>
  </conditionalFormatting>
  <conditionalFormatting sqref="AC180:AC183">
    <cfRule type="duplicateValues" dxfId="29" priority="35"/>
  </conditionalFormatting>
  <conditionalFormatting sqref="J184:J186 J135:J138 J146:J153 J127:J131 J155:J168 J62:J66 J77 J1:J6 J89:J103 J172:J179 J79 J19:J42 J191:J1048576 J170 J52:J60 J50 J8:J16 J68:J71 J105:J123 J81:J87 J140:J143">
    <cfRule type="duplicateValues" dxfId="28" priority="218"/>
  </conditionalFormatting>
  <conditionalFormatting sqref="J184:J186 J135:J138 J123 J63:J66 J146:J153 J127:J131 J162:J168 J155:J160 J34:J42 J31:J32 J94:J103 J1:J6 J89:J92 J77 J172:J179 J79 J19:J29 J191:J1048576 J170 J52:J60 J50 J8:J16 J68:J71 J105:J121 J81:J87 J140:J143">
    <cfRule type="duplicateValues" dxfId="27" priority="228"/>
  </conditionalFormatting>
  <conditionalFormatting sqref="A180:A183">
    <cfRule type="duplicateValues" dxfId="26" priority="243"/>
  </conditionalFormatting>
  <conditionalFormatting sqref="B180:B181 B183">
    <cfRule type="duplicateValues" dxfId="25" priority="244"/>
  </conditionalFormatting>
  <conditionalFormatting sqref="J180:J183">
    <cfRule type="duplicateValues" dxfId="24" priority="245"/>
  </conditionalFormatting>
  <conditionalFormatting sqref="J180:J183">
    <cfRule type="duplicateValues" dxfId="23" priority="246"/>
  </conditionalFormatting>
  <conditionalFormatting sqref="B182">
    <cfRule type="duplicateValues" dxfId="22" priority="33"/>
  </conditionalFormatting>
  <conditionalFormatting sqref="J171">
    <cfRule type="duplicateValues" dxfId="21" priority="31"/>
  </conditionalFormatting>
  <conditionalFormatting sqref="J171">
    <cfRule type="duplicateValues" dxfId="20" priority="32"/>
  </conditionalFormatting>
  <conditionalFormatting sqref="J78">
    <cfRule type="duplicateValues" dxfId="19" priority="29"/>
  </conditionalFormatting>
  <conditionalFormatting sqref="J78">
    <cfRule type="duplicateValues" dxfId="18" priority="30"/>
  </conditionalFormatting>
  <conditionalFormatting sqref="J76">
    <cfRule type="duplicateValues" dxfId="17" priority="27"/>
  </conditionalFormatting>
  <conditionalFormatting sqref="J76">
    <cfRule type="duplicateValues" dxfId="16" priority="28"/>
  </conditionalFormatting>
  <conditionalFormatting sqref="B17:F17 H17:J17">
    <cfRule type="duplicateValues" dxfId="15" priority="21"/>
  </conditionalFormatting>
  <conditionalFormatting sqref="B17:F17 H17:J17">
    <cfRule type="duplicateValues" dxfId="14" priority="22"/>
  </conditionalFormatting>
  <conditionalFormatting sqref="J169">
    <cfRule type="duplicateValues" dxfId="13" priority="17"/>
  </conditionalFormatting>
  <conditionalFormatting sqref="J169">
    <cfRule type="duplicateValues" dxfId="12" priority="18"/>
  </conditionalFormatting>
  <conditionalFormatting sqref="J43:J49">
    <cfRule type="duplicateValues" dxfId="11" priority="13"/>
  </conditionalFormatting>
  <conditionalFormatting sqref="J43:J49">
    <cfRule type="duplicateValues" dxfId="10" priority="14"/>
  </conditionalFormatting>
  <conditionalFormatting sqref="B18:F18 H18:J18">
    <cfRule type="duplicateValues" dxfId="9" priority="11"/>
  </conditionalFormatting>
  <conditionalFormatting sqref="B18:F18 H18:J18">
    <cfRule type="duplicateValues" dxfId="8" priority="12"/>
  </conditionalFormatting>
  <conditionalFormatting sqref="J67">
    <cfRule type="duplicateValues" dxfId="7" priority="9"/>
  </conditionalFormatting>
  <conditionalFormatting sqref="J67">
    <cfRule type="duplicateValues" dxfId="6" priority="10"/>
  </conditionalFormatting>
  <conditionalFormatting sqref="J104">
    <cfRule type="duplicateValues" dxfId="5" priority="7"/>
  </conditionalFormatting>
  <conditionalFormatting sqref="J104">
    <cfRule type="duplicateValues" dxfId="4" priority="8"/>
  </conditionalFormatting>
  <conditionalFormatting sqref="J80">
    <cfRule type="duplicateValues" dxfId="3" priority="5"/>
  </conditionalFormatting>
  <conditionalFormatting sqref="J80">
    <cfRule type="duplicateValues" dxfId="2" priority="6"/>
  </conditionalFormatting>
  <conditionalFormatting sqref="J139">
    <cfRule type="duplicateValues" dxfId="1" priority="3"/>
  </conditionalFormatting>
  <conditionalFormatting sqref="J139">
    <cfRule type="duplicateValues" dxfId="0" priority="4"/>
  </conditionalFormatting>
  <dataValidations count="10">
    <dataValidation type="list" allowBlank="1" showInputMessage="1" showErrorMessage="1" sqref="AC59 AC150">
      <formula1>z</formula1>
    </dataValidation>
    <dataValidation type="list" allowBlank="1" showInputMessage="1" showErrorMessage="1" sqref="AJ59">
      <formula1>x</formula1>
    </dataValidation>
    <dataValidation type="list" allowBlank="1" showInputMessage="1" showErrorMessage="1" sqref="H123 H173 H19:H22 H154:I158 I19 H102 H149:I150 H142:I143 H132:I134 I166 H145:I147 H151 H152:I152 H160:I162 H181:I183 H114:I121 H124:I130 H172:I172 H63:I81 H103:I112 H96:I101 H82 H83:I84 H61:H62 H57:I60 H56 I28:I31 H87:I89 H24:I25 H85 H34:I52 H26:H31 H32:I32 H166:H171 H8:I16 H176:I179">
      <formula1>PROCESO</formula1>
    </dataValidation>
    <dataValidation type="list" allowBlank="1" showInputMessage="1" showErrorMessage="1" sqref="AC120 AC113:AC114 AC160 AC54:AC57 AC37:AC40 AC173:AC174 AC10:AC22 AC153 AC96:AC98 AC117:AC118 AC127:AC128 AC146 AC50:AC52 AC123 AC100:AC101 AC60:AC62 AC166:AC169 AC103:AC105 AC26:AC30 AC33:AC34 AC84:AC93 AC70:AC81">
      <formula1>GASTO</formula1>
    </dataValidation>
    <dataValidation type="list" allowBlank="1" showInputMessage="1" showErrorMessage="1" sqref="AB166:AB174 AB176:AB183 AB8:AB164">
      <formula1>"INVERSIÓN,FUNCIONAMIENTO"</formula1>
    </dataValidation>
    <dataValidation type="list" allowBlank="1" showInputMessage="1" showErrorMessage="1" sqref="L28:L30 M118 M120 M124 M114 M89 M59 M10:M15 M96 K54:K55 M100 M54:M56 L103:L104">
      <formula1>"NACIÓN,PROPIOS20,PROPIOS21"</formula1>
    </dataValidation>
    <dataValidation type="list" allowBlank="1" showInputMessage="1" showErrorMessage="1" sqref="AD114 AD20:AD22 AD177:AD179 AD173 AD33:AD34 AD40 AD117:AD118 AD153 AD146 AD160 AD150 AD128:AD129 AD15:AD18 AD170:AD171 AD84 AD38 AD59:AD62 AD52 AD56:AD57 AD8:AD13 AD96:AD105 AD28:AD31 AD26 AD87:AD93 AD70:AD82">
      <formula1>SUPERVISOR</formula1>
    </dataValidation>
    <dataValidation type="list" allowBlank="1" showInputMessage="1" showErrorMessage="1" sqref="G19:G22 G8:G12 G39 G87:G89 G173 G56 G14 G96 G82 G84 G100:G101 G60:G62 G26:G30 G16 G50:G51">
      <formula1>META</formula1>
    </dataValidation>
    <dataValidation type="list" allowBlank="1" showInputMessage="1" showErrorMessage="1" sqref="AJ16:AJ23 AJ84:AJ94 AJ32:AJ35 AJ180:AJ183 AJ25:AJ26 AJ69:AJ82 AJ128:AJ130 AJ124:AJ126 AJ96:AJ105 AJ10:AJ14 AJ37:AJ40 AJ28:AJ30 AJ162:AJ163 AJ118:AJ120 AJ8:AS8 AJ157 AJ60 AJ149 AJ154 AJ165 AJ62 AJ108 AJ110:AJ114 AJ42:AJ57 AJ173:AJ177 AK9:AS183 AJ132:AJ146">
      <formula1>MODALIDAD</formula1>
    </dataValidation>
    <dataValidation type="list" allowBlank="1" showInputMessage="1" showErrorMessage="1" sqref="F14 F100 F96">
      <formula1>PROYECTO</formula1>
    </dataValidation>
  </dataValidations>
  <pageMargins left="0.7" right="0.7" top="0.75" bottom="0.75" header="0.3" footer="0.3"/>
  <pageSetup scale="1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79"/>
  <sheetViews>
    <sheetView zoomScale="60" zoomScaleNormal="60" workbookViewId="0">
      <selection activeCell="U9" sqref="U9"/>
    </sheetView>
  </sheetViews>
  <sheetFormatPr baseColWidth="10" defaultRowHeight="15" x14ac:dyDescent="0.25"/>
  <cols>
    <col min="1" max="1" width="35.42578125" customWidth="1"/>
    <col min="2" max="2" width="28.42578125" style="96" customWidth="1"/>
    <col min="3" max="3" width="39.7109375" customWidth="1"/>
    <col min="4" max="4" width="20.5703125" customWidth="1"/>
    <col min="5" max="5" width="14.85546875" customWidth="1"/>
    <col min="6" max="6" width="23" hidden="1" customWidth="1"/>
    <col min="7" max="7" width="18.7109375" hidden="1" customWidth="1"/>
    <col min="8" max="10" width="19.7109375" hidden="1" customWidth="1"/>
    <col min="11" max="12" width="20.5703125" hidden="1" customWidth="1"/>
    <col min="13" max="14" width="22" hidden="1" customWidth="1"/>
    <col min="15" max="15" width="17.7109375" style="80" hidden="1" customWidth="1"/>
    <col min="16" max="16" width="18.7109375" style="80" hidden="1" customWidth="1"/>
    <col min="17" max="17" width="17" style="80" hidden="1" customWidth="1"/>
    <col min="18" max="18" width="18.7109375" style="80" hidden="1" customWidth="1"/>
    <col min="19" max="19" width="15.42578125" customWidth="1"/>
    <col min="257" max="257" width="24.42578125" customWidth="1"/>
    <col min="258" max="258" width="32.28515625" customWidth="1"/>
    <col min="259" max="260" width="20.5703125" customWidth="1"/>
    <col min="261" max="261" width="29.140625" customWidth="1"/>
    <col min="262" max="262" width="20.7109375" customWidth="1"/>
    <col min="263" max="263" width="18.7109375" customWidth="1"/>
    <col min="264" max="266" width="19.7109375" customWidth="1"/>
    <col min="267" max="268" width="20.5703125" customWidth="1"/>
    <col min="269" max="270" width="22" customWidth="1"/>
    <col min="271" max="271" width="16.5703125" customWidth="1"/>
    <col min="272" max="272" width="18.7109375" customWidth="1"/>
    <col min="273" max="273" width="17" customWidth="1"/>
    <col min="274" max="274" width="18.7109375" customWidth="1"/>
    <col min="513" max="513" width="24.42578125" customWidth="1"/>
    <col min="514" max="514" width="32.28515625" customWidth="1"/>
    <col min="515" max="516" width="20.5703125" customWidth="1"/>
    <col min="517" max="517" width="29.140625" customWidth="1"/>
    <col min="518" max="518" width="20.7109375" customWidth="1"/>
    <col min="519" max="519" width="18.7109375" customWidth="1"/>
    <col min="520" max="522" width="19.7109375" customWidth="1"/>
    <col min="523" max="524" width="20.5703125" customWidth="1"/>
    <col min="525" max="526" width="22" customWidth="1"/>
    <col min="527" max="527" width="16.5703125" customWidth="1"/>
    <col min="528" max="528" width="18.7109375" customWidth="1"/>
    <col min="529" max="529" width="17" customWidth="1"/>
    <col min="530" max="530" width="18.7109375" customWidth="1"/>
    <col min="769" max="769" width="24.42578125" customWidth="1"/>
    <col min="770" max="770" width="32.28515625" customWidth="1"/>
    <col min="771" max="772" width="20.5703125" customWidth="1"/>
    <col min="773" max="773" width="29.140625" customWidth="1"/>
    <col min="774" max="774" width="20.7109375" customWidth="1"/>
    <col min="775" max="775" width="18.7109375" customWidth="1"/>
    <col min="776" max="778" width="19.7109375" customWidth="1"/>
    <col min="779" max="780" width="20.5703125" customWidth="1"/>
    <col min="781" max="782" width="22" customWidth="1"/>
    <col min="783" max="783" width="16.5703125" customWidth="1"/>
    <col min="784" max="784" width="18.7109375" customWidth="1"/>
    <col min="785" max="785" width="17" customWidth="1"/>
    <col min="786" max="786" width="18.7109375" customWidth="1"/>
    <col min="1025" max="1025" width="24.42578125" customWidth="1"/>
    <col min="1026" max="1026" width="32.28515625" customWidth="1"/>
    <col min="1027" max="1028" width="20.5703125" customWidth="1"/>
    <col min="1029" max="1029" width="29.140625" customWidth="1"/>
    <col min="1030" max="1030" width="20.7109375" customWidth="1"/>
    <col min="1031" max="1031" width="18.7109375" customWidth="1"/>
    <col min="1032" max="1034" width="19.7109375" customWidth="1"/>
    <col min="1035" max="1036" width="20.5703125" customWidth="1"/>
    <col min="1037" max="1038" width="22" customWidth="1"/>
    <col min="1039" max="1039" width="16.5703125" customWidth="1"/>
    <col min="1040" max="1040" width="18.7109375" customWidth="1"/>
    <col min="1041" max="1041" width="17" customWidth="1"/>
    <col min="1042" max="1042" width="18.7109375" customWidth="1"/>
    <col min="1281" max="1281" width="24.42578125" customWidth="1"/>
    <col min="1282" max="1282" width="32.28515625" customWidth="1"/>
    <col min="1283" max="1284" width="20.5703125" customWidth="1"/>
    <col min="1285" max="1285" width="29.140625" customWidth="1"/>
    <col min="1286" max="1286" width="20.7109375" customWidth="1"/>
    <col min="1287" max="1287" width="18.7109375" customWidth="1"/>
    <col min="1288" max="1290" width="19.7109375" customWidth="1"/>
    <col min="1291" max="1292" width="20.5703125" customWidth="1"/>
    <col min="1293" max="1294" width="22" customWidth="1"/>
    <col min="1295" max="1295" width="16.5703125" customWidth="1"/>
    <col min="1296" max="1296" width="18.7109375" customWidth="1"/>
    <col min="1297" max="1297" width="17" customWidth="1"/>
    <col min="1298" max="1298" width="18.7109375" customWidth="1"/>
    <col min="1537" max="1537" width="24.42578125" customWidth="1"/>
    <col min="1538" max="1538" width="32.28515625" customWidth="1"/>
    <col min="1539" max="1540" width="20.5703125" customWidth="1"/>
    <col min="1541" max="1541" width="29.140625" customWidth="1"/>
    <col min="1542" max="1542" width="20.7109375" customWidth="1"/>
    <col min="1543" max="1543" width="18.7109375" customWidth="1"/>
    <col min="1544" max="1546" width="19.7109375" customWidth="1"/>
    <col min="1547" max="1548" width="20.5703125" customWidth="1"/>
    <col min="1549" max="1550" width="22" customWidth="1"/>
    <col min="1551" max="1551" width="16.5703125" customWidth="1"/>
    <col min="1552" max="1552" width="18.7109375" customWidth="1"/>
    <col min="1553" max="1553" width="17" customWidth="1"/>
    <col min="1554" max="1554" width="18.7109375" customWidth="1"/>
    <col min="1793" max="1793" width="24.42578125" customWidth="1"/>
    <col min="1794" max="1794" width="32.28515625" customWidth="1"/>
    <col min="1795" max="1796" width="20.5703125" customWidth="1"/>
    <col min="1797" max="1797" width="29.140625" customWidth="1"/>
    <col min="1798" max="1798" width="20.7109375" customWidth="1"/>
    <col min="1799" max="1799" width="18.7109375" customWidth="1"/>
    <col min="1800" max="1802" width="19.7109375" customWidth="1"/>
    <col min="1803" max="1804" width="20.5703125" customWidth="1"/>
    <col min="1805" max="1806" width="22" customWidth="1"/>
    <col min="1807" max="1807" width="16.5703125" customWidth="1"/>
    <col min="1808" max="1808" width="18.7109375" customWidth="1"/>
    <col min="1809" max="1809" width="17" customWidth="1"/>
    <col min="1810" max="1810" width="18.7109375" customWidth="1"/>
    <col min="2049" max="2049" width="24.42578125" customWidth="1"/>
    <col min="2050" max="2050" width="32.28515625" customWidth="1"/>
    <col min="2051" max="2052" width="20.5703125" customWidth="1"/>
    <col min="2053" max="2053" width="29.140625" customWidth="1"/>
    <col min="2054" max="2054" width="20.7109375" customWidth="1"/>
    <col min="2055" max="2055" width="18.7109375" customWidth="1"/>
    <col min="2056" max="2058" width="19.7109375" customWidth="1"/>
    <col min="2059" max="2060" width="20.5703125" customWidth="1"/>
    <col min="2061" max="2062" width="22" customWidth="1"/>
    <col min="2063" max="2063" width="16.5703125" customWidth="1"/>
    <col min="2064" max="2064" width="18.7109375" customWidth="1"/>
    <col min="2065" max="2065" width="17" customWidth="1"/>
    <col min="2066" max="2066" width="18.7109375" customWidth="1"/>
    <col min="2305" max="2305" width="24.42578125" customWidth="1"/>
    <col min="2306" max="2306" width="32.28515625" customWidth="1"/>
    <col min="2307" max="2308" width="20.5703125" customWidth="1"/>
    <col min="2309" max="2309" width="29.140625" customWidth="1"/>
    <col min="2310" max="2310" width="20.7109375" customWidth="1"/>
    <col min="2311" max="2311" width="18.7109375" customWidth="1"/>
    <col min="2312" max="2314" width="19.7109375" customWidth="1"/>
    <col min="2315" max="2316" width="20.5703125" customWidth="1"/>
    <col min="2317" max="2318" width="22" customWidth="1"/>
    <col min="2319" max="2319" width="16.5703125" customWidth="1"/>
    <col min="2320" max="2320" width="18.7109375" customWidth="1"/>
    <col min="2321" max="2321" width="17" customWidth="1"/>
    <col min="2322" max="2322" width="18.7109375" customWidth="1"/>
    <col min="2561" max="2561" width="24.42578125" customWidth="1"/>
    <col min="2562" max="2562" width="32.28515625" customWidth="1"/>
    <col min="2563" max="2564" width="20.5703125" customWidth="1"/>
    <col min="2565" max="2565" width="29.140625" customWidth="1"/>
    <col min="2566" max="2566" width="20.7109375" customWidth="1"/>
    <col min="2567" max="2567" width="18.7109375" customWidth="1"/>
    <col min="2568" max="2570" width="19.7109375" customWidth="1"/>
    <col min="2571" max="2572" width="20.5703125" customWidth="1"/>
    <col min="2573" max="2574" width="22" customWidth="1"/>
    <col min="2575" max="2575" width="16.5703125" customWidth="1"/>
    <col min="2576" max="2576" width="18.7109375" customWidth="1"/>
    <col min="2577" max="2577" width="17" customWidth="1"/>
    <col min="2578" max="2578" width="18.7109375" customWidth="1"/>
    <col min="2817" max="2817" width="24.42578125" customWidth="1"/>
    <col min="2818" max="2818" width="32.28515625" customWidth="1"/>
    <col min="2819" max="2820" width="20.5703125" customWidth="1"/>
    <col min="2821" max="2821" width="29.140625" customWidth="1"/>
    <col min="2822" max="2822" width="20.7109375" customWidth="1"/>
    <col min="2823" max="2823" width="18.7109375" customWidth="1"/>
    <col min="2824" max="2826" width="19.7109375" customWidth="1"/>
    <col min="2827" max="2828" width="20.5703125" customWidth="1"/>
    <col min="2829" max="2830" width="22" customWidth="1"/>
    <col min="2831" max="2831" width="16.5703125" customWidth="1"/>
    <col min="2832" max="2832" width="18.7109375" customWidth="1"/>
    <col min="2833" max="2833" width="17" customWidth="1"/>
    <col min="2834" max="2834" width="18.7109375" customWidth="1"/>
    <col min="3073" max="3073" width="24.42578125" customWidth="1"/>
    <col min="3074" max="3074" width="32.28515625" customWidth="1"/>
    <col min="3075" max="3076" width="20.5703125" customWidth="1"/>
    <col min="3077" max="3077" width="29.140625" customWidth="1"/>
    <col min="3078" max="3078" width="20.7109375" customWidth="1"/>
    <col min="3079" max="3079" width="18.7109375" customWidth="1"/>
    <col min="3080" max="3082" width="19.7109375" customWidth="1"/>
    <col min="3083" max="3084" width="20.5703125" customWidth="1"/>
    <col min="3085" max="3086" width="22" customWidth="1"/>
    <col min="3087" max="3087" width="16.5703125" customWidth="1"/>
    <col min="3088" max="3088" width="18.7109375" customWidth="1"/>
    <col min="3089" max="3089" width="17" customWidth="1"/>
    <col min="3090" max="3090" width="18.7109375" customWidth="1"/>
    <col min="3329" max="3329" width="24.42578125" customWidth="1"/>
    <col min="3330" max="3330" width="32.28515625" customWidth="1"/>
    <col min="3331" max="3332" width="20.5703125" customWidth="1"/>
    <col min="3333" max="3333" width="29.140625" customWidth="1"/>
    <col min="3334" max="3334" width="20.7109375" customWidth="1"/>
    <col min="3335" max="3335" width="18.7109375" customWidth="1"/>
    <col min="3336" max="3338" width="19.7109375" customWidth="1"/>
    <col min="3339" max="3340" width="20.5703125" customWidth="1"/>
    <col min="3341" max="3342" width="22" customWidth="1"/>
    <col min="3343" max="3343" width="16.5703125" customWidth="1"/>
    <col min="3344" max="3344" width="18.7109375" customWidth="1"/>
    <col min="3345" max="3345" width="17" customWidth="1"/>
    <col min="3346" max="3346" width="18.7109375" customWidth="1"/>
    <col min="3585" max="3585" width="24.42578125" customWidth="1"/>
    <col min="3586" max="3586" width="32.28515625" customWidth="1"/>
    <col min="3587" max="3588" width="20.5703125" customWidth="1"/>
    <col min="3589" max="3589" width="29.140625" customWidth="1"/>
    <col min="3590" max="3590" width="20.7109375" customWidth="1"/>
    <col min="3591" max="3591" width="18.7109375" customWidth="1"/>
    <col min="3592" max="3594" width="19.7109375" customWidth="1"/>
    <col min="3595" max="3596" width="20.5703125" customWidth="1"/>
    <col min="3597" max="3598" width="22" customWidth="1"/>
    <col min="3599" max="3599" width="16.5703125" customWidth="1"/>
    <col min="3600" max="3600" width="18.7109375" customWidth="1"/>
    <col min="3601" max="3601" width="17" customWidth="1"/>
    <col min="3602" max="3602" width="18.7109375" customWidth="1"/>
    <col min="3841" max="3841" width="24.42578125" customWidth="1"/>
    <col min="3842" max="3842" width="32.28515625" customWidth="1"/>
    <col min="3843" max="3844" width="20.5703125" customWidth="1"/>
    <col min="3845" max="3845" width="29.140625" customWidth="1"/>
    <col min="3846" max="3846" width="20.7109375" customWidth="1"/>
    <col min="3847" max="3847" width="18.7109375" customWidth="1"/>
    <col min="3848" max="3850" width="19.7109375" customWidth="1"/>
    <col min="3851" max="3852" width="20.5703125" customWidth="1"/>
    <col min="3853" max="3854" width="22" customWidth="1"/>
    <col min="3855" max="3855" width="16.5703125" customWidth="1"/>
    <col min="3856" max="3856" width="18.7109375" customWidth="1"/>
    <col min="3857" max="3857" width="17" customWidth="1"/>
    <col min="3858" max="3858" width="18.7109375" customWidth="1"/>
    <col min="4097" max="4097" width="24.42578125" customWidth="1"/>
    <col min="4098" max="4098" width="32.28515625" customWidth="1"/>
    <col min="4099" max="4100" width="20.5703125" customWidth="1"/>
    <col min="4101" max="4101" width="29.140625" customWidth="1"/>
    <col min="4102" max="4102" width="20.7109375" customWidth="1"/>
    <col min="4103" max="4103" width="18.7109375" customWidth="1"/>
    <col min="4104" max="4106" width="19.7109375" customWidth="1"/>
    <col min="4107" max="4108" width="20.5703125" customWidth="1"/>
    <col min="4109" max="4110" width="22" customWidth="1"/>
    <col min="4111" max="4111" width="16.5703125" customWidth="1"/>
    <col min="4112" max="4112" width="18.7109375" customWidth="1"/>
    <col min="4113" max="4113" width="17" customWidth="1"/>
    <col min="4114" max="4114" width="18.7109375" customWidth="1"/>
    <col min="4353" max="4353" width="24.42578125" customWidth="1"/>
    <col min="4354" max="4354" width="32.28515625" customWidth="1"/>
    <col min="4355" max="4356" width="20.5703125" customWidth="1"/>
    <col min="4357" max="4357" width="29.140625" customWidth="1"/>
    <col min="4358" max="4358" width="20.7109375" customWidth="1"/>
    <col min="4359" max="4359" width="18.7109375" customWidth="1"/>
    <col min="4360" max="4362" width="19.7109375" customWidth="1"/>
    <col min="4363" max="4364" width="20.5703125" customWidth="1"/>
    <col min="4365" max="4366" width="22" customWidth="1"/>
    <col min="4367" max="4367" width="16.5703125" customWidth="1"/>
    <col min="4368" max="4368" width="18.7109375" customWidth="1"/>
    <col min="4369" max="4369" width="17" customWidth="1"/>
    <col min="4370" max="4370" width="18.7109375" customWidth="1"/>
    <col min="4609" max="4609" width="24.42578125" customWidth="1"/>
    <col min="4610" max="4610" width="32.28515625" customWidth="1"/>
    <col min="4611" max="4612" width="20.5703125" customWidth="1"/>
    <col min="4613" max="4613" width="29.140625" customWidth="1"/>
    <col min="4614" max="4614" width="20.7109375" customWidth="1"/>
    <col min="4615" max="4615" width="18.7109375" customWidth="1"/>
    <col min="4616" max="4618" width="19.7109375" customWidth="1"/>
    <col min="4619" max="4620" width="20.5703125" customWidth="1"/>
    <col min="4621" max="4622" width="22" customWidth="1"/>
    <col min="4623" max="4623" width="16.5703125" customWidth="1"/>
    <col min="4624" max="4624" width="18.7109375" customWidth="1"/>
    <col min="4625" max="4625" width="17" customWidth="1"/>
    <col min="4626" max="4626" width="18.7109375" customWidth="1"/>
    <col min="4865" max="4865" width="24.42578125" customWidth="1"/>
    <col min="4866" max="4866" width="32.28515625" customWidth="1"/>
    <col min="4867" max="4868" width="20.5703125" customWidth="1"/>
    <col min="4869" max="4869" width="29.140625" customWidth="1"/>
    <col min="4870" max="4870" width="20.7109375" customWidth="1"/>
    <col min="4871" max="4871" width="18.7109375" customWidth="1"/>
    <col min="4872" max="4874" width="19.7109375" customWidth="1"/>
    <col min="4875" max="4876" width="20.5703125" customWidth="1"/>
    <col min="4877" max="4878" width="22" customWidth="1"/>
    <col min="4879" max="4879" width="16.5703125" customWidth="1"/>
    <col min="4880" max="4880" width="18.7109375" customWidth="1"/>
    <col min="4881" max="4881" width="17" customWidth="1"/>
    <col min="4882" max="4882" width="18.7109375" customWidth="1"/>
    <col min="5121" max="5121" width="24.42578125" customWidth="1"/>
    <col min="5122" max="5122" width="32.28515625" customWidth="1"/>
    <col min="5123" max="5124" width="20.5703125" customWidth="1"/>
    <col min="5125" max="5125" width="29.140625" customWidth="1"/>
    <col min="5126" max="5126" width="20.7109375" customWidth="1"/>
    <col min="5127" max="5127" width="18.7109375" customWidth="1"/>
    <col min="5128" max="5130" width="19.7109375" customWidth="1"/>
    <col min="5131" max="5132" width="20.5703125" customWidth="1"/>
    <col min="5133" max="5134" width="22" customWidth="1"/>
    <col min="5135" max="5135" width="16.5703125" customWidth="1"/>
    <col min="5136" max="5136" width="18.7109375" customWidth="1"/>
    <col min="5137" max="5137" width="17" customWidth="1"/>
    <col min="5138" max="5138" width="18.7109375" customWidth="1"/>
    <col min="5377" max="5377" width="24.42578125" customWidth="1"/>
    <col min="5378" max="5378" width="32.28515625" customWidth="1"/>
    <col min="5379" max="5380" width="20.5703125" customWidth="1"/>
    <col min="5381" max="5381" width="29.140625" customWidth="1"/>
    <col min="5382" max="5382" width="20.7109375" customWidth="1"/>
    <col min="5383" max="5383" width="18.7109375" customWidth="1"/>
    <col min="5384" max="5386" width="19.7109375" customWidth="1"/>
    <col min="5387" max="5388" width="20.5703125" customWidth="1"/>
    <col min="5389" max="5390" width="22" customWidth="1"/>
    <col min="5391" max="5391" width="16.5703125" customWidth="1"/>
    <col min="5392" max="5392" width="18.7109375" customWidth="1"/>
    <col min="5393" max="5393" width="17" customWidth="1"/>
    <col min="5394" max="5394" width="18.7109375" customWidth="1"/>
    <col min="5633" max="5633" width="24.42578125" customWidth="1"/>
    <col min="5634" max="5634" width="32.28515625" customWidth="1"/>
    <col min="5635" max="5636" width="20.5703125" customWidth="1"/>
    <col min="5637" max="5637" width="29.140625" customWidth="1"/>
    <col min="5638" max="5638" width="20.7109375" customWidth="1"/>
    <col min="5639" max="5639" width="18.7109375" customWidth="1"/>
    <col min="5640" max="5642" width="19.7109375" customWidth="1"/>
    <col min="5643" max="5644" width="20.5703125" customWidth="1"/>
    <col min="5645" max="5646" width="22" customWidth="1"/>
    <col min="5647" max="5647" width="16.5703125" customWidth="1"/>
    <col min="5648" max="5648" width="18.7109375" customWidth="1"/>
    <col min="5649" max="5649" width="17" customWidth="1"/>
    <col min="5650" max="5650" width="18.7109375" customWidth="1"/>
    <col min="5889" max="5889" width="24.42578125" customWidth="1"/>
    <col min="5890" max="5890" width="32.28515625" customWidth="1"/>
    <col min="5891" max="5892" width="20.5703125" customWidth="1"/>
    <col min="5893" max="5893" width="29.140625" customWidth="1"/>
    <col min="5894" max="5894" width="20.7109375" customWidth="1"/>
    <col min="5895" max="5895" width="18.7109375" customWidth="1"/>
    <col min="5896" max="5898" width="19.7109375" customWidth="1"/>
    <col min="5899" max="5900" width="20.5703125" customWidth="1"/>
    <col min="5901" max="5902" width="22" customWidth="1"/>
    <col min="5903" max="5903" width="16.5703125" customWidth="1"/>
    <col min="5904" max="5904" width="18.7109375" customWidth="1"/>
    <col min="5905" max="5905" width="17" customWidth="1"/>
    <col min="5906" max="5906" width="18.7109375" customWidth="1"/>
    <col min="6145" max="6145" width="24.42578125" customWidth="1"/>
    <col min="6146" max="6146" width="32.28515625" customWidth="1"/>
    <col min="6147" max="6148" width="20.5703125" customWidth="1"/>
    <col min="6149" max="6149" width="29.140625" customWidth="1"/>
    <col min="6150" max="6150" width="20.7109375" customWidth="1"/>
    <col min="6151" max="6151" width="18.7109375" customWidth="1"/>
    <col min="6152" max="6154" width="19.7109375" customWidth="1"/>
    <col min="6155" max="6156" width="20.5703125" customWidth="1"/>
    <col min="6157" max="6158" width="22" customWidth="1"/>
    <col min="6159" max="6159" width="16.5703125" customWidth="1"/>
    <col min="6160" max="6160" width="18.7109375" customWidth="1"/>
    <col min="6161" max="6161" width="17" customWidth="1"/>
    <col min="6162" max="6162" width="18.7109375" customWidth="1"/>
    <col min="6401" max="6401" width="24.42578125" customWidth="1"/>
    <col min="6402" max="6402" width="32.28515625" customWidth="1"/>
    <col min="6403" max="6404" width="20.5703125" customWidth="1"/>
    <col min="6405" max="6405" width="29.140625" customWidth="1"/>
    <col min="6406" max="6406" width="20.7109375" customWidth="1"/>
    <col min="6407" max="6407" width="18.7109375" customWidth="1"/>
    <col min="6408" max="6410" width="19.7109375" customWidth="1"/>
    <col min="6411" max="6412" width="20.5703125" customWidth="1"/>
    <col min="6413" max="6414" width="22" customWidth="1"/>
    <col min="6415" max="6415" width="16.5703125" customWidth="1"/>
    <col min="6416" max="6416" width="18.7109375" customWidth="1"/>
    <col min="6417" max="6417" width="17" customWidth="1"/>
    <col min="6418" max="6418" width="18.7109375" customWidth="1"/>
    <col min="6657" max="6657" width="24.42578125" customWidth="1"/>
    <col min="6658" max="6658" width="32.28515625" customWidth="1"/>
    <col min="6659" max="6660" width="20.5703125" customWidth="1"/>
    <col min="6661" max="6661" width="29.140625" customWidth="1"/>
    <col min="6662" max="6662" width="20.7109375" customWidth="1"/>
    <col min="6663" max="6663" width="18.7109375" customWidth="1"/>
    <col min="6664" max="6666" width="19.7109375" customWidth="1"/>
    <col min="6667" max="6668" width="20.5703125" customWidth="1"/>
    <col min="6669" max="6670" width="22" customWidth="1"/>
    <col min="6671" max="6671" width="16.5703125" customWidth="1"/>
    <col min="6672" max="6672" width="18.7109375" customWidth="1"/>
    <col min="6673" max="6673" width="17" customWidth="1"/>
    <col min="6674" max="6674" width="18.7109375" customWidth="1"/>
    <col min="6913" max="6913" width="24.42578125" customWidth="1"/>
    <col min="6914" max="6914" width="32.28515625" customWidth="1"/>
    <col min="6915" max="6916" width="20.5703125" customWidth="1"/>
    <col min="6917" max="6917" width="29.140625" customWidth="1"/>
    <col min="6918" max="6918" width="20.7109375" customWidth="1"/>
    <col min="6919" max="6919" width="18.7109375" customWidth="1"/>
    <col min="6920" max="6922" width="19.7109375" customWidth="1"/>
    <col min="6923" max="6924" width="20.5703125" customWidth="1"/>
    <col min="6925" max="6926" width="22" customWidth="1"/>
    <col min="6927" max="6927" width="16.5703125" customWidth="1"/>
    <col min="6928" max="6928" width="18.7109375" customWidth="1"/>
    <col min="6929" max="6929" width="17" customWidth="1"/>
    <col min="6930" max="6930" width="18.7109375" customWidth="1"/>
    <col min="7169" max="7169" width="24.42578125" customWidth="1"/>
    <col min="7170" max="7170" width="32.28515625" customWidth="1"/>
    <col min="7171" max="7172" width="20.5703125" customWidth="1"/>
    <col min="7173" max="7173" width="29.140625" customWidth="1"/>
    <col min="7174" max="7174" width="20.7109375" customWidth="1"/>
    <col min="7175" max="7175" width="18.7109375" customWidth="1"/>
    <col min="7176" max="7178" width="19.7109375" customWidth="1"/>
    <col min="7179" max="7180" width="20.5703125" customWidth="1"/>
    <col min="7181" max="7182" width="22" customWidth="1"/>
    <col min="7183" max="7183" width="16.5703125" customWidth="1"/>
    <col min="7184" max="7184" width="18.7109375" customWidth="1"/>
    <col min="7185" max="7185" width="17" customWidth="1"/>
    <col min="7186" max="7186" width="18.7109375" customWidth="1"/>
    <col min="7425" max="7425" width="24.42578125" customWidth="1"/>
    <col min="7426" max="7426" width="32.28515625" customWidth="1"/>
    <col min="7427" max="7428" width="20.5703125" customWidth="1"/>
    <col min="7429" max="7429" width="29.140625" customWidth="1"/>
    <col min="7430" max="7430" width="20.7109375" customWidth="1"/>
    <col min="7431" max="7431" width="18.7109375" customWidth="1"/>
    <col min="7432" max="7434" width="19.7109375" customWidth="1"/>
    <col min="7435" max="7436" width="20.5703125" customWidth="1"/>
    <col min="7437" max="7438" width="22" customWidth="1"/>
    <col min="7439" max="7439" width="16.5703125" customWidth="1"/>
    <col min="7440" max="7440" width="18.7109375" customWidth="1"/>
    <col min="7441" max="7441" width="17" customWidth="1"/>
    <col min="7442" max="7442" width="18.7109375" customWidth="1"/>
    <col min="7681" max="7681" width="24.42578125" customWidth="1"/>
    <col min="7682" max="7682" width="32.28515625" customWidth="1"/>
    <col min="7683" max="7684" width="20.5703125" customWidth="1"/>
    <col min="7685" max="7685" width="29.140625" customWidth="1"/>
    <col min="7686" max="7686" width="20.7109375" customWidth="1"/>
    <col min="7687" max="7687" width="18.7109375" customWidth="1"/>
    <col min="7688" max="7690" width="19.7109375" customWidth="1"/>
    <col min="7691" max="7692" width="20.5703125" customWidth="1"/>
    <col min="7693" max="7694" width="22" customWidth="1"/>
    <col min="7695" max="7695" width="16.5703125" customWidth="1"/>
    <col min="7696" max="7696" width="18.7109375" customWidth="1"/>
    <col min="7697" max="7697" width="17" customWidth="1"/>
    <col min="7698" max="7698" width="18.7109375" customWidth="1"/>
    <col min="7937" max="7937" width="24.42578125" customWidth="1"/>
    <col min="7938" max="7938" width="32.28515625" customWidth="1"/>
    <col min="7939" max="7940" width="20.5703125" customWidth="1"/>
    <col min="7941" max="7941" width="29.140625" customWidth="1"/>
    <col min="7942" max="7942" width="20.7109375" customWidth="1"/>
    <col min="7943" max="7943" width="18.7109375" customWidth="1"/>
    <col min="7944" max="7946" width="19.7109375" customWidth="1"/>
    <col min="7947" max="7948" width="20.5703125" customWidth="1"/>
    <col min="7949" max="7950" width="22" customWidth="1"/>
    <col min="7951" max="7951" width="16.5703125" customWidth="1"/>
    <col min="7952" max="7952" width="18.7109375" customWidth="1"/>
    <col min="7953" max="7953" width="17" customWidth="1"/>
    <col min="7954" max="7954" width="18.7109375" customWidth="1"/>
    <col min="8193" max="8193" width="24.42578125" customWidth="1"/>
    <col min="8194" max="8194" width="32.28515625" customWidth="1"/>
    <col min="8195" max="8196" width="20.5703125" customWidth="1"/>
    <col min="8197" max="8197" width="29.140625" customWidth="1"/>
    <col min="8198" max="8198" width="20.7109375" customWidth="1"/>
    <col min="8199" max="8199" width="18.7109375" customWidth="1"/>
    <col min="8200" max="8202" width="19.7109375" customWidth="1"/>
    <col min="8203" max="8204" width="20.5703125" customWidth="1"/>
    <col min="8205" max="8206" width="22" customWidth="1"/>
    <col min="8207" max="8207" width="16.5703125" customWidth="1"/>
    <col min="8208" max="8208" width="18.7109375" customWidth="1"/>
    <col min="8209" max="8209" width="17" customWidth="1"/>
    <col min="8210" max="8210" width="18.7109375" customWidth="1"/>
    <col min="8449" max="8449" width="24.42578125" customWidth="1"/>
    <col min="8450" max="8450" width="32.28515625" customWidth="1"/>
    <col min="8451" max="8452" width="20.5703125" customWidth="1"/>
    <col min="8453" max="8453" width="29.140625" customWidth="1"/>
    <col min="8454" max="8454" width="20.7109375" customWidth="1"/>
    <col min="8455" max="8455" width="18.7109375" customWidth="1"/>
    <col min="8456" max="8458" width="19.7109375" customWidth="1"/>
    <col min="8459" max="8460" width="20.5703125" customWidth="1"/>
    <col min="8461" max="8462" width="22" customWidth="1"/>
    <col min="8463" max="8463" width="16.5703125" customWidth="1"/>
    <col min="8464" max="8464" width="18.7109375" customWidth="1"/>
    <col min="8465" max="8465" width="17" customWidth="1"/>
    <col min="8466" max="8466" width="18.7109375" customWidth="1"/>
    <col min="8705" max="8705" width="24.42578125" customWidth="1"/>
    <col min="8706" max="8706" width="32.28515625" customWidth="1"/>
    <col min="8707" max="8708" width="20.5703125" customWidth="1"/>
    <col min="8709" max="8709" width="29.140625" customWidth="1"/>
    <col min="8710" max="8710" width="20.7109375" customWidth="1"/>
    <col min="8711" max="8711" width="18.7109375" customWidth="1"/>
    <col min="8712" max="8714" width="19.7109375" customWidth="1"/>
    <col min="8715" max="8716" width="20.5703125" customWidth="1"/>
    <col min="8717" max="8718" width="22" customWidth="1"/>
    <col min="8719" max="8719" width="16.5703125" customWidth="1"/>
    <col min="8720" max="8720" width="18.7109375" customWidth="1"/>
    <col min="8721" max="8721" width="17" customWidth="1"/>
    <col min="8722" max="8722" width="18.7109375" customWidth="1"/>
    <col min="8961" max="8961" width="24.42578125" customWidth="1"/>
    <col min="8962" max="8962" width="32.28515625" customWidth="1"/>
    <col min="8963" max="8964" width="20.5703125" customWidth="1"/>
    <col min="8965" max="8965" width="29.140625" customWidth="1"/>
    <col min="8966" max="8966" width="20.7109375" customWidth="1"/>
    <col min="8967" max="8967" width="18.7109375" customWidth="1"/>
    <col min="8968" max="8970" width="19.7109375" customWidth="1"/>
    <col min="8971" max="8972" width="20.5703125" customWidth="1"/>
    <col min="8973" max="8974" width="22" customWidth="1"/>
    <col min="8975" max="8975" width="16.5703125" customWidth="1"/>
    <col min="8976" max="8976" width="18.7109375" customWidth="1"/>
    <col min="8977" max="8977" width="17" customWidth="1"/>
    <col min="8978" max="8978" width="18.7109375" customWidth="1"/>
    <col min="9217" max="9217" width="24.42578125" customWidth="1"/>
    <col min="9218" max="9218" width="32.28515625" customWidth="1"/>
    <col min="9219" max="9220" width="20.5703125" customWidth="1"/>
    <col min="9221" max="9221" width="29.140625" customWidth="1"/>
    <col min="9222" max="9222" width="20.7109375" customWidth="1"/>
    <col min="9223" max="9223" width="18.7109375" customWidth="1"/>
    <col min="9224" max="9226" width="19.7109375" customWidth="1"/>
    <col min="9227" max="9228" width="20.5703125" customWidth="1"/>
    <col min="9229" max="9230" width="22" customWidth="1"/>
    <col min="9231" max="9231" width="16.5703125" customWidth="1"/>
    <col min="9232" max="9232" width="18.7109375" customWidth="1"/>
    <col min="9233" max="9233" width="17" customWidth="1"/>
    <col min="9234" max="9234" width="18.7109375" customWidth="1"/>
    <col min="9473" max="9473" width="24.42578125" customWidth="1"/>
    <col min="9474" max="9474" width="32.28515625" customWidth="1"/>
    <col min="9475" max="9476" width="20.5703125" customWidth="1"/>
    <col min="9477" max="9477" width="29.140625" customWidth="1"/>
    <col min="9478" max="9478" width="20.7109375" customWidth="1"/>
    <col min="9479" max="9479" width="18.7109375" customWidth="1"/>
    <col min="9480" max="9482" width="19.7109375" customWidth="1"/>
    <col min="9483" max="9484" width="20.5703125" customWidth="1"/>
    <col min="9485" max="9486" width="22" customWidth="1"/>
    <col min="9487" max="9487" width="16.5703125" customWidth="1"/>
    <col min="9488" max="9488" width="18.7109375" customWidth="1"/>
    <col min="9489" max="9489" width="17" customWidth="1"/>
    <col min="9490" max="9490" width="18.7109375" customWidth="1"/>
    <col min="9729" max="9729" width="24.42578125" customWidth="1"/>
    <col min="9730" max="9730" width="32.28515625" customWidth="1"/>
    <col min="9731" max="9732" width="20.5703125" customWidth="1"/>
    <col min="9733" max="9733" width="29.140625" customWidth="1"/>
    <col min="9734" max="9734" width="20.7109375" customWidth="1"/>
    <col min="9735" max="9735" width="18.7109375" customWidth="1"/>
    <col min="9736" max="9738" width="19.7109375" customWidth="1"/>
    <col min="9739" max="9740" width="20.5703125" customWidth="1"/>
    <col min="9741" max="9742" width="22" customWidth="1"/>
    <col min="9743" max="9743" width="16.5703125" customWidth="1"/>
    <col min="9744" max="9744" width="18.7109375" customWidth="1"/>
    <col min="9745" max="9745" width="17" customWidth="1"/>
    <col min="9746" max="9746" width="18.7109375" customWidth="1"/>
    <col min="9985" max="9985" width="24.42578125" customWidth="1"/>
    <col min="9986" max="9986" width="32.28515625" customWidth="1"/>
    <col min="9987" max="9988" width="20.5703125" customWidth="1"/>
    <col min="9989" max="9989" width="29.140625" customWidth="1"/>
    <col min="9990" max="9990" width="20.7109375" customWidth="1"/>
    <col min="9991" max="9991" width="18.7109375" customWidth="1"/>
    <col min="9992" max="9994" width="19.7109375" customWidth="1"/>
    <col min="9995" max="9996" width="20.5703125" customWidth="1"/>
    <col min="9997" max="9998" width="22" customWidth="1"/>
    <col min="9999" max="9999" width="16.5703125" customWidth="1"/>
    <col min="10000" max="10000" width="18.7109375" customWidth="1"/>
    <col min="10001" max="10001" width="17" customWidth="1"/>
    <col min="10002" max="10002" width="18.7109375" customWidth="1"/>
    <col min="10241" max="10241" width="24.42578125" customWidth="1"/>
    <col min="10242" max="10242" width="32.28515625" customWidth="1"/>
    <col min="10243" max="10244" width="20.5703125" customWidth="1"/>
    <col min="10245" max="10245" width="29.140625" customWidth="1"/>
    <col min="10246" max="10246" width="20.7109375" customWidth="1"/>
    <col min="10247" max="10247" width="18.7109375" customWidth="1"/>
    <col min="10248" max="10250" width="19.7109375" customWidth="1"/>
    <col min="10251" max="10252" width="20.5703125" customWidth="1"/>
    <col min="10253" max="10254" width="22" customWidth="1"/>
    <col min="10255" max="10255" width="16.5703125" customWidth="1"/>
    <col min="10256" max="10256" width="18.7109375" customWidth="1"/>
    <col min="10257" max="10257" width="17" customWidth="1"/>
    <col min="10258" max="10258" width="18.7109375" customWidth="1"/>
    <col min="10497" max="10497" width="24.42578125" customWidth="1"/>
    <col min="10498" max="10498" width="32.28515625" customWidth="1"/>
    <col min="10499" max="10500" width="20.5703125" customWidth="1"/>
    <col min="10501" max="10501" width="29.140625" customWidth="1"/>
    <col min="10502" max="10502" width="20.7109375" customWidth="1"/>
    <col min="10503" max="10503" width="18.7109375" customWidth="1"/>
    <col min="10504" max="10506" width="19.7109375" customWidth="1"/>
    <col min="10507" max="10508" width="20.5703125" customWidth="1"/>
    <col min="10509" max="10510" width="22" customWidth="1"/>
    <col min="10511" max="10511" width="16.5703125" customWidth="1"/>
    <col min="10512" max="10512" width="18.7109375" customWidth="1"/>
    <col min="10513" max="10513" width="17" customWidth="1"/>
    <col min="10514" max="10514" width="18.7109375" customWidth="1"/>
    <col min="10753" max="10753" width="24.42578125" customWidth="1"/>
    <col min="10754" max="10754" width="32.28515625" customWidth="1"/>
    <col min="10755" max="10756" width="20.5703125" customWidth="1"/>
    <col min="10757" max="10757" width="29.140625" customWidth="1"/>
    <col min="10758" max="10758" width="20.7109375" customWidth="1"/>
    <col min="10759" max="10759" width="18.7109375" customWidth="1"/>
    <col min="10760" max="10762" width="19.7109375" customWidth="1"/>
    <col min="10763" max="10764" width="20.5703125" customWidth="1"/>
    <col min="10765" max="10766" width="22" customWidth="1"/>
    <col min="10767" max="10767" width="16.5703125" customWidth="1"/>
    <col min="10768" max="10768" width="18.7109375" customWidth="1"/>
    <col min="10769" max="10769" width="17" customWidth="1"/>
    <col min="10770" max="10770" width="18.7109375" customWidth="1"/>
    <col min="11009" max="11009" width="24.42578125" customWidth="1"/>
    <col min="11010" max="11010" width="32.28515625" customWidth="1"/>
    <col min="11011" max="11012" width="20.5703125" customWidth="1"/>
    <col min="11013" max="11013" width="29.140625" customWidth="1"/>
    <col min="11014" max="11014" width="20.7109375" customWidth="1"/>
    <col min="11015" max="11015" width="18.7109375" customWidth="1"/>
    <col min="11016" max="11018" width="19.7109375" customWidth="1"/>
    <col min="11019" max="11020" width="20.5703125" customWidth="1"/>
    <col min="11021" max="11022" width="22" customWidth="1"/>
    <col min="11023" max="11023" width="16.5703125" customWidth="1"/>
    <col min="11024" max="11024" width="18.7109375" customWidth="1"/>
    <col min="11025" max="11025" width="17" customWidth="1"/>
    <col min="11026" max="11026" width="18.7109375" customWidth="1"/>
    <col min="11265" max="11265" width="24.42578125" customWidth="1"/>
    <col min="11266" max="11266" width="32.28515625" customWidth="1"/>
    <col min="11267" max="11268" width="20.5703125" customWidth="1"/>
    <col min="11269" max="11269" width="29.140625" customWidth="1"/>
    <col min="11270" max="11270" width="20.7109375" customWidth="1"/>
    <col min="11271" max="11271" width="18.7109375" customWidth="1"/>
    <col min="11272" max="11274" width="19.7109375" customWidth="1"/>
    <col min="11275" max="11276" width="20.5703125" customWidth="1"/>
    <col min="11277" max="11278" width="22" customWidth="1"/>
    <col min="11279" max="11279" width="16.5703125" customWidth="1"/>
    <col min="11280" max="11280" width="18.7109375" customWidth="1"/>
    <col min="11281" max="11281" width="17" customWidth="1"/>
    <col min="11282" max="11282" width="18.7109375" customWidth="1"/>
    <col min="11521" max="11521" width="24.42578125" customWidth="1"/>
    <col min="11522" max="11522" width="32.28515625" customWidth="1"/>
    <col min="11523" max="11524" width="20.5703125" customWidth="1"/>
    <col min="11525" max="11525" width="29.140625" customWidth="1"/>
    <col min="11526" max="11526" width="20.7109375" customWidth="1"/>
    <col min="11527" max="11527" width="18.7109375" customWidth="1"/>
    <col min="11528" max="11530" width="19.7109375" customWidth="1"/>
    <col min="11531" max="11532" width="20.5703125" customWidth="1"/>
    <col min="11533" max="11534" width="22" customWidth="1"/>
    <col min="11535" max="11535" width="16.5703125" customWidth="1"/>
    <col min="11536" max="11536" width="18.7109375" customWidth="1"/>
    <col min="11537" max="11537" width="17" customWidth="1"/>
    <col min="11538" max="11538" width="18.7109375" customWidth="1"/>
    <col min="11777" max="11777" width="24.42578125" customWidth="1"/>
    <col min="11778" max="11778" width="32.28515625" customWidth="1"/>
    <col min="11779" max="11780" width="20.5703125" customWidth="1"/>
    <col min="11781" max="11781" width="29.140625" customWidth="1"/>
    <col min="11782" max="11782" width="20.7109375" customWidth="1"/>
    <col min="11783" max="11783" width="18.7109375" customWidth="1"/>
    <col min="11784" max="11786" width="19.7109375" customWidth="1"/>
    <col min="11787" max="11788" width="20.5703125" customWidth="1"/>
    <col min="11789" max="11790" width="22" customWidth="1"/>
    <col min="11791" max="11791" width="16.5703125" customWidth="1"/>
    <col min="11792" max="11792" width="18.7109375" customWidth="1"/>
    <col min="11793" max="11793" width="17" customWidth="1"/>
    <col min="11794" max="11794" width="18.7109375" customWidth="1"/>
    <col min="12033" max="12033" width="24.42578125" customWidth="1"/>
    <col min="12034" max="12034" width="32.28515625" customWidth="1"/>
    <col min="12035" max="12036" width="20.5703125" customWidth="1"/>
    <col min="12037" max="12037" width="29.140625" customWidth="1"/>
    <col min="12038" max="12038" width="20.7109375" customWidth="1"/>
    <col min="12039" max="12039" width="18.7109375" customWidth="1"/>
    <col min="12040" max="12042" width="19.7109375" customWidth="1"/>
    <col min="12043" max="12044" width="20.5703125" customWidth="1"/>
    <col min="12045" max="12046" width="22" customWidth="1"/>
    <col min="12047" max="12047" width="16.5703125" customWidth="1"/>
    <col min="12048" max="12048" width="18.7109375" customWidth="1"/>
    <col min="12049" max="12049" width="17" customWidth="1"/>
    <col min="12050" max="12050" width="18.7109375" customWidth="1"/>
    <col min="12289" max="12289" width="24.42578125" customWidth="1"/>
    <col min="12290" max="12290" width="32.28515625" customWidth="1"/>
    <col min="12291" max="12292" width="20.5703125" customWidth="1"/>
    <col min="12293" max="12293" width="29.140625" customWidth="1"/>
    <col min="12294" max="12294" width="20.7109375" customWidth="1"/>
    <col min="12295" max="12295" width="18.7109375" customWidth="1"/>
    <col min="12296" max="12298" width="19.7109375" customWidth="1"/>
    <col min="12299" max="12300" width="20.5703125" customWidth="1"/>
    <col min="12301" max="12302" width="22" customWidth="1"/>
    <col min="12303" max="12303" width="16.5703125" customWidth="1"/>
    <col min="12304" max="12304" width="18.7109375" customWidth="1"/>
    <col min="12305" max="12305" width="17" customWidth="1"/>
    <col min="12306" max="12306" width="18.7109375" customWidth="1"/>
    <col min="12545" max="12545" width="24.42578125" customWidth="1"/>
    <col min="12546" max="12546" width="32.28515625" customWidth="1"/>
    <col min="12547" max="12548" width="20.5703125" customWidth="1"/>
    <col min="12549" max="12549" width="29.140625" customWidth="1"/>
    <col min="12550" max="12550" width="20.7109375" customWidth="1"/>
    <col min="12551" max="12551" width="18.7109375" customWidth="1"/>
    <col min="12552" max="12554" width="19.7109375" customWidth="1"/>
    <col min="12555" max="12556" width="20.5703125" customWidth="1"/>
    <col min="12557" max="12558" width="22" customWidth="1"/>
    <col min="12559" max="12559" width="16.5703125" customWidth="1"/>
    <col min="12560" max="12560" width="18.7109375" customWidth="1"/>
    <col min="12561" max="12561" width="17" customWidth="1"/>
    <col min="12562" max="12562" width="18.7109375" customWidth="1"/>
    <col min="12801" max="12801" width="24.42578125" customWidth="1"/>
    <col min="12802" max="12802" width="32.28515625" customWidth="1"/>
    <col min="12803" max="12804" width="20.5703125" customWidth="1"/>
    <col min="12805" max="12805" width="29.140625" customWidth="1"/>
    <col min="12806" max="12806" width="20.7109375" customWidth="1"/>
    <col min="12807" max="12807" width="18.7109375" customWidth="1"/>
    <col min="12808" max="12810" width="19.7109375" customWidth="1"/>
    <col min="12811" max="12812" width="20.5703125" customWidth="1"/>
    <col min="12813" max="12814" width="22" customWidth="1"/>
    <col min="12815" max="12815" width="16.5703125" customWidth="1"/>
    <col min="12816" max="12816" width="18.7109375" customWidth="1"/>
    <col min="12817" max="12817" width="17" customWidth="1"/>
    <col min="12818" max="12818" width="18.7109375" customWidth="1"/>
    <col min="13057" max="13057" width="24.42578125" customWidth="1"/>
    <col min="13058" max="13058" width="32.28515625" customWidth="1"/>
    <col min="13059" max="13060" width="20.5703125" customWidth="1"/>
    <col min="13061" max="13061" width="29.140625" customWidth="1"/>
    <col min="13062" max="13062" width="20.7109375" customWidth="1"/>
    <col min="13063" max="13063" width="18.7109375" customWidth="1"/>
    <col min="13064" max="13066" width="19.7109375" customWidth="1"/>
    <col min="13067" max="13068" width="20.5703125" customWidth="1"/>
    <col min="13069" max="13070" width="22" customWidth="1"/>
    <col min="13071" max="13071" width="16.5703125" customWidth="1"/>
    <col min="13072" max="13072" width="18.7109375" customWidth="1"/>
    <col min="13073" max="13073" width="17" customWidth="1"/>
    <col min="13074" max="13074" width="18.7109375" customWidth="1"/>
    <col min="13313" max="13313" width="24.42578125" customWidth="1"/>
    <col min="13314" max="13314" width="32.28515625" customWidth="1"/>
    <col min="13315" max="13316" width="20.5703125" customWidth="1"/>
    <col min="13317" max="13317" width="29.140625" customWidth="1"/>
    <col min="13318" max="13318" width="20.7109375" customWidth="1"/>
    <col min="13319" max="13319" width="18.7109375" customWidth="1"/>
    <col min="13320" max="13322" width="19.7109375" customWidth="1"/>
    <col min="13323" max="13324" width="20.5703125" customWidth="1"/>
    <col min="13325" max="13326" width="22" customWidth="1"/>
    <col min="13327" max="13327" width="16.5703125" customWidth="1"/>
    <col min="13328" max="13328" width="18.7109375" customWidth="1"/>
    <col min="13329" max="13329" width="17" customWidth="1"/>
    <col min="13330" max="13330" width="18.7109375" customWidth="1"/>
    <col min="13569" max="13569" width="24.42578125" customWidth="1"/>
    <col min="13570" max="13570" width="32.28515625" customWidth="1"/>
    <col min="13571" max="13572" width="20.5703125" customWidth="1"/>
    <col min="13573" max="13573" width="29.140625" customWidth="1"/>
    <col min="13574" max="13574" width="20.7109375" customWidth="1"/>
    <col min="13575" max="13575" width="18.7109375" customWidth="1"/>
    <col min="13576" max="13578" width="19.7109375" customWidth="1"/>
    <col min="13579" max="13580" width="20.5703125" customWidth="1"/>
    <col min="13581" max="13582" width="22" customWidth="1"/>
    <col min="13583" max="13583" width="16.5703125" customWidth="1"/>
    <col min="13584" max="13584" width="18.7109375" customWidth="1"/>
    <col min="13585" max="13585" width="17" customWidth="1"/>
    <col min="13586" max="13586" width="18.7109375" customWidth="1"/>
    <col min="13825" max="13825" width="24.42578125" customWidth="1"/>
    <col min="13826" max="13826" width="32.28515625" customWidth="1"/>
    <col min="13827" max="13828" width="20.5703125" customWidth="1"/>
    <col min="13829" max="13829" width="29.140625" customWidth="1"/>
    <col min="13830" max="13830" width="20.7109375" customWidth="1"/>
    <col min="13831" max="13831" width="18.7109375" customWidth="1"/>
    <col min="13832" max="13834" width="19.7109375" customWidth="1"/>
    <col min="13835" max="13836" width="20.5703125" customWidth="1"/>
    <col min="13837" max="13838" width="22" customWidth="1"/>
    <col min="13839" max="13839" width="16.5703125" customWidth="1"/>
    <col min="13840" max="13840" width="18.7109375" customWidth="1"/>
    <col min="13841" max="13841" width="17" customWidth="1"/>
    <col min="13842" max="13842" width="18.7109375" customWidth="1"/>
    <col min="14081" max="14081" width="24.42578125" customWidth="1"/>
    <col min="14082" max="14082" width="32.28515625" customWidth="1"/>
    <col min="14083" max="14084" width="20.5703125" customWidth="1"/>
    <col min="14085" max="14085" width="29.140625" customWidth="1"/>
    <col min="14086" max="14086" width="20.7109375" customWidth="1"/>
    <col min="14087" max="14087" width="18.7109375" customWidth="1"/>
    <col min="14088" max="14090" width="19.7109375" customWidth="1"/>
    <col min="14091" max="14092" width="20.5703125" customWidth="1"/>
    <col min="14093" max="14094" width="22" customWidth="1"/>
    <col min="14095" max="14095" width="16.5703125" customWidth="1"/>
    <col min="14096" max="14096" width="18.7109375" customWidth="1"/>
    <col min="14097" max="14097" width="17" customWidth="1"/>
    <col min="14098" max="14098" width="18.7109375" customWidth="1"/>
    <col min="14337" max="14337" width="24.42578125" customWidth="1"/>
    <col min="14338" max="14338" width="32.28515625" customWidth="1"/>
    <col min="14339" max="14340" width="20.5703125" customWidth="1"/>
    <col min="14341" max="14341" width="29.140625" customWidth="1"/>
    <col min="14342" max="14342" width="20.7109375" customWidth="1"/>
    <col min="14343" max="14343" width="18.7109375" customWidth="1"/>
    <col min="14344" max="14346" width="19.7109375" customWidth="1"/>
    <col min="14347" max="14348" width="20.5703125" customWidth="1"/>
    <col min="14349" max="14350" width="22" customWidth="1"/>
    <col min="14351" max="14351" width="16.5703125" customWidth="1"/>
    <col min="14352" max="14352" width="18.7109375" customWidth="1"/>
    <col min="14353" max="14353" width="17" customWidth="1"/>
    <col min="14354" max="14354" width="18.7109375" customWidth="1"/>
    <col min="14593" max="14593" width="24.42578125" customWidth="1"/>
    <col min="14594" max="14594" width="32.28515625" customWidth="1"/>
    <col min="14595" max="14596" width="20.5703125" customWidth="1"/>
    <col min="14597" max="14597" width="29.140625" customWidth="1"/>
    <col min="14598" max="14598" width="20.7109375" customWidth="1"/>
    <col min="14599" max="14599" width="18.7109375" customWidth="1"/>
    <col min="14600" max="14602" width="19.7109375" customWidth="1"/>
    <col min="14603" max="14604" width="20.5703125" customWidth="1"/>
    <col min="14605" max="14606" width="22" customWidth="1"/>
    <col min="14607" max="14607" width="16.5703125" customWidth="1"/>
    <col min="14608" max="14608" width="18.7109375" customWidth="1"/>
    <col min="14609" max="14609" width="17" customWidth="1"/>
    <col min="14610" max="14610" width="18.7109375" customWidth="1"/>
    <col min="14849" max="14849" width="24.42578125" customWidth="1"/>
    <col min="14850" max="14850" width="32.28515625" customWidth="1"/>
    <col min="14851" max="14852" width="20.5703125" customWidth="1"/>
    <col min="14853" max="14853" width="29.140625" customWidth="1"/>
    <col min="14854" max="14854" width="20.7109375" customWidth="1"/>
    <col min="14855" max="14855" width="18.7109375" customWidth="1"/>
    <col min="14856" max="14858" width="19.7109375" customWidth="1"/>
    <col min="14859" max="14860" width="20.5703125" customWidth="1"/>
    <col min="14861" max="14862" width="22" customWidth="1"/>
    <col min="14863" max="14863" width="16.5703125" customWidth="1"/>
    <col min="14864" max="14864" width="18.7109375" customWidth="1"/>
    <col min="14865" max="14865" width="17" customWidth="1"/>
    <col min="14866" max="14866" width="18.7109375" customWidth="1"/>
    <col min="15105" max="15105" width="24.42578125" customWidth="1"/>
    <col min="15106" max="15106" width="32.28515625" customWidth="1"/>
    <col min="15107" max="15108" width="20.5703125" customWidth="1"/>
    <col min="15109" max="15109" width="29.140625" customWidth="1"/>
    <col min="15110" max="15110" width="20.7109375" customWidth="1"/>
    <col min="15111" max="15111" width="18.7109375" customWidth="1"/>
    <col min="15112" max="15114" width="19.7109375" customWidth="1"/>
    <col min="15115" max="15116" width="20.5703125" customWidth="1"/>
    <col min="15117" max="15118" width="22" customWidth="1"/>
    <col min="15119" max="15119" width="16.5703125" customWidth="1"/>
    <col min="15120" max="15120" width="18.7109375" customWidth="1"/>
    <col min="15121" max="15121" width="17" customWidth="1"/>
    <col min="15122" max="15122" width="18.7109375" customWidth="1"/>
    <col min="15361" max="15361" width="24.42578125" customWidth="1"/>
    <col min="15362" max="15362" width="32.28515625" customWidth="1"/>
    <col min="15363" max="15364" width="20.5703125" customWidth="1"/>
    <col min="15365" max="15365" width="29.140625" customWidth="1"/>
    <col min="15366" max="15366" width="20.7109375" customWidth="1"/>
    <col min="15367" max="15367" width="18.7109375" customWidth="1"/>
    <col min="15368" max="15370" width="19.7109375" customWidth="1"/>
    <col min="15371" max="15372" width="20.5703125" customWidth="1"/>
    <col min="15373" max="15374" width="22" customWidth="1"/>
    <col min="15375" max="15375" width="16.5703125" customWidth="1"/>
    <col min="15376" max="15376" width="18.7109375" customWidth="1"/>
    <col min="15377" max="15377" width="17" customWidth="1"/>
    <col min="15378" max="15378" width="18.7109375" customWidth="1"/>
    <col min="15617" max="15617" width="24.42578125" customWidth="1"/>
    <col min="15618" max="15618" width="32.28515625" customWidth="1"/>
    <col min="15619" max="15620" width="20.5703125" customWidth="1"/>
    <col min="15621" max="15621" width="29.140625" customWidth="1"/>
    <col min="15622" max="15622" width="20.7109375" customWidth="1"/>
    <col min="15623" max="15623" width="18.7109375" customWidth="1"/>
    <col min="15624" max="15626" width="19.7109375" customWidth="1"/>
    <col min="15627" max="15628" width="20.5703125" customWidth="1"/>
    <col min="15629" max="15630" width="22" customWidth="1"/>
    <col min="15631" max="15631" width="16.5703125" customWidth="1"/>
    <col min="15632" max="15632" width="18.7109375" customWidth="1"/>
    <col min="15633" max="15633" width="17" customWidth="1"/>
    <col min="15634" max="15634" width="18.7109375" customWidth="1"/>
    <col min="15873" max="15873" width="24.42578125" customWidth="1"/>
    <col min="15874" max="15874" width="32.28515625" customWidth="1"/>
    <col min="15875" max="15876" width="20.5703125" customWidth="1"/>
    <col min="15877" max="15877" width="29.140625" customWidth="1"/>
    <col min="15878" max="15878" width="20.7109375" customWidth="1"/>
    <col min="15879" max="15879" width="18.7109375" customWidth="1"/>
    <col min="15880" max="15882" width="19.7109375" customWidth="1"/>
    <col min="15883" max="15884" width="20.5703125" customWidth="1"/>
    <col min="15885" max="15886" width="22" customWidth="1"/>
    <col min="15887" max="15887" width="16.5703125" customWidth="1"/>
    <col min="15888" max="15888" width="18.7109375" customWidth="1"/>
    <col min="15889" max="15889" width="17" customWidth="1"/>
    <col min="15890" max="15890" width="18.7109375" customWidth="1"/>
    <col min="16129" max="16129" width="24.42578125" customWidth="1"/>
    <col min="16130" max="16130" width="32.28515625" customWidth="1"/>
    <col min="16131" max="16132" width="20.5703125" customWidth="1"/>
    <col min="16133" max="16133" width="29.140625" customWidth="1"/>
    <col min="16134" max="16134" width="20.7109375" customWidth="1"/>
    <col min="16135" max="16135" width="18.7109375" customWidth="1"/>
    <col min="16136" max="16138" width="19.7109375" customWidth="1"/>
    <col min="16139" max="16140" width="20.5703125" customWidth="1"/>
    <col min="16141" max="16142" width="22" customWidth="1"/>
    <col min="16143" max="16143" width="16.5703125" customWidth="1"/>
    <col min="16144" max="16144" width="18.7109375" customWidth="1"/>
    <col min="16145" max="16145" width="17" customWidth="1"/>
    <col min="16146" max="16146" width="18.7109375" customWidth="1"/>
  </cols>
  <sheetData>
    <row r="1" spans="1:20" ht="18" x14ac:dyDescent="0.25">
      <c r="A1" s="563"/>
      <c r="B1" s="563"/>
      <c r="C1" s="564" t="s">
        <v>148</v>
      </c>
      <c r="D1" s="564"/>
      <c r="E1" s="564"/>
      <c r="F1" s="564"/>
      <c r="G1" s="564"/>
      <c r="H1" s="564"/>
      <c r="I1" s="564"/>
      <c r="J1" s="564"/>
      <c r="K1" s="564"/>
      <c r="L1" s="564"/>
      <c r="M1" s="564"/>
      <c r="N1" s="565" t="s">
        <v>149</v>
      </c>
      <c r="O1" s="566"/>
      <c r="P1" s="566"/>
      <c r="Q1" s="567"/>
    </row>
    <row r="2" spans="1:20" ht="18" x14ac:dyDescent="0.25">
      <c r="A2" s="563"/>
      <c r="B2" s="563"/>
      <c r="C2" s="564"/>
      <c r="D2" s="564"/>
      <c r="E2" s="564"/>
      <c r="F2" s="564"/>
      <c r="G2" s="564"/>
      <c r="H2" s="564"/>
      <c r="I2" s="564"/>
      <c r="J2" s="564"/>
      <c r="K2" s="564"/>
      <c r="L2" s="564"/>
      <c r="M2" s="564"/>
      <c r="N2" s="565" t="s">
        <v>150</v>
      </c>
      <c r="O2" s="566"/>
      <c r="P2" s="566"/>
      <c r="Q2" s="567"/>
    </row>
    <row r="3" spans="1:20" ht="18" x14ac:dyDescent="0.25">
      <c r="A3" s="563"/>
      <c r="B3" s="563"/>
      <c r="C3" s="564" t="s">
        <v>58</v>
      </c>
      <c r="D3" s="564"/>
      <c r="E3" s="564"/>
      <c r="F3" s="564"/>
      <c r="G3" s="564"/>
      <c r="H3" s="564"/>
      <c r="I3" s="564"/>
      <c r="J3" s="564"/>
      <c r="K3" s="564"/>
      <c r="L3" s="564"/>
      <c r="M3" s="564"/>
      <c r="N3" s="565" t="s">
        <v>151</v>
      </c>
      <c r="O3" s="566"/>
      <c r="P3" s="566"/>
      <c r="Q3" s="567"/>
    </row>
    <row r="5" spans="1:20" s="1" customFormat="1" ht="45" x14ac:dyDescent="0.25">
      <c r="A5" s="81" t="s">
        <v>1</v>
      </c>
      <c r="B5" s="82" t="s">
        <v>152</v>
      </c>
      <c r="C5" s="81" t="s">
        <v>344</v>
      </c>
      <c r="D5" s="81" t="s">
        <v>345</v>
      </c>
      <c r="E5" s="81" t="s">
        <v>346</v>
      </c>
      <c r="F5" s="81" t="s">
        <v>347</v>
      </c>
      <c r="G5" s="81" t="s">
        <v>348</v>
      </c>
      <c r="H5" s="81" t="s">
        <v>349</v>
      </c>
      <c r="I5" s="83" t="s">
        <v>164</v>
      </c>
      <c r="J5" s="81" t="s">
        <v>350</v>
      </c>
      <c r="K5" s="81" t="s">
        <v>351</v>
      </c>
      <c r="L5" s="83" t="s">
        <v>352</v>
      </c>
      <c r="M5" s="81" t="s">
        <v>353</v>
      </c>
      <c r="N5" s="81" t="s">
        <v>354</v>
      </c>
      <c r="O5" s="84" t="s">
        <v>355</v>
      </c>
      <c r="P5" s="84" t="s">
        <v>395</v>
      </c>
      <c r="Q5" s="85" t="s">
        <v>357</v>
      </c>
      <c r="R5" s="86" t="s">
        <v>358</v>
      </c>
    </row>
    <row r="6" spans="1:20" s="1" customFormat="1" ht="45" x14ac:dyDescent="0.25">
      <c r="A6" s="87" t="s">
        <v>169</v>
      </c>
      <c r="B6" s="102" t="s">
        <v>274</v>
      </c>
      <c r="C6" s="101" t="s">
        <v>274</v>
      </c>
      <c r="D6" s="88" t="s">
        <v>359</v>
      </c>
      <c r="E6" s="88">
        <f>2*15</f>
        <v>30</v>
      </c>
      <c r="F6" s="16" t="s">
        <v>394</v>
      </c>
      <c r="G6" s="16">
        <v>0</v>
      </c>
      <c r="H6" s="16">
        <v>0</v>
      </c>
      <c r="I6" s="16">
        <f t="shared" ref="I6:I13" si="0">+G6*H6</f>
        <v>0</v>
      </c>
      <c r="J6" s="16">
        <v>0</v>
      </c>
      <c r="K6" s="16">
        <v>0</v>
      </c>
      <c r="L6" s="16">
        <v>0</v>
      </c>
      <c r="M6" s="16" t="s">
        <v>361</v>
      </c>
      <c r="N6" s="16">
        <v>0</v>
      </c>
      <c r="O6" s="16">
        <f t="shared" ref="O6:O15" si="1">E6</f>
        <v>30</v>
      </c>
      <c r="P6" s="99">
        <v>120000</v>
      </c>
      <c r="Q6" s="99">
        <f t="shared" ref="Q6:Q17" si="2">+O6*P6</f>
        <v>3600000</v>
      </c>
      <c r="R6" s="99">
        <f t="shared" ref="R6:R15" si="3">+I6+L6+Q6</f>
        <v>3600000</v>
      </c>
      <c r="S6" s="97"/>
      <c r="T6" s="98"/>
    </row>
    <row r="7" spans="1:20" s="1" customFormat="1" ht="45" x14ac:dyDescent="0.25">
      <c r="A7" s="87" t="s">
        <v>169</v>
      </c>
      <c r="B7" s="102" t="s">
        <v>170</v>
      </c>
      <c r="C7" s="101" t="s">
        <v>369</v>
      </c>
      <c r="D7" s="88" t="s">
        <v>370</v>
      </c>
      <c r="E7" s="88">
        <f>95+25</f>
        <v>120</v>
      </c>
      <c r="F7" s="16" t="s">
        <v>360</v>
      </c>
      <c r="G7" s="16">
        <v>0</v>
      </c>
      <c r="H7" s="16">
        <v>0</v>
      </c>
      <c r="I7" s="16">
        <f>+G7*H7</f>
        <v>0</v>
      </c>
      <c r="J7" s="16">
        <v>0</v>
      </c>
      <c r="K7" s="16">
        <v>0</v>
      </c>
      <c r="L7" s="16">
        <v>0</v>
      </c>
      <c r="M7" s="16" t="s">
        <v>361</v>
      </c>
      <c r="N7" s="16">
        <v>0</v>
      </c>
      <c r="O7" s="16">
        <f t="shared" si="1"/>
        <v>120</v>
      </c>
      <c r="P7" s="99">
        <v>60000</v>
      </c>
      <c r="Q7" s="99">
        <f>+O7*P7</f>
        <v>7200000</v>
      </c>
      <c r="R7" s="99">
        <f>+I7+L7+Q7</f>
        <v>7200000</v>
      </c>
    </row>
    <row r="8" spans="1:20" s="1" customFormat="1" ht="46.5" customHeight="1" x14ac:dyDescent="0.25">
      <c r="A8" s="87" t="s">
        <v>169</v>
      </c>
      <c r="B8" s="102" t="s">
        <v>282</v>
      </c>
      <c r="C8" s="58" t="s">
        <v>402</v>
      </c>
      <c r="D8" s="16" t="s">
        <v>368</v>
      </c>
      <c r="E8" s="16">
        <v>50</v>
      </c>
      <c r="F8" s="34" t="s">
        <v>360</v>
      </c>
      <c r="G8" s="16"/>
      <c r="H8" s="16"/>
      <c r="I8" s="16"/>
      <c r="J8" s="16"/>
      <c r="K8" s="16"/>
      <c r="L8" s="16"/>
      <c r="M8" s="16"/>
      <c r="N8" s="16"/>
      <c r="O8" s="16">
        <f t="shared" si="1"/>
        <v>50</v>
      </c>
      <c r="P8" s="99">
        <v>100000</v>
      </c>
      <c r="Q8" s="99">
        <f>+O8*P8</f>
        <v>5000000</v>
      </c>
      <c r="R8" s="99">
        <f>+I8+L8+Q8</f>
        <v>5000000</v>
      </c>
    </row>
    <row r="9" spans="1:20" s="1" customFormat="1" ht="45" x14ac:dyDescent="0.25">
      <c r="A9" s="87" t="s">
        <v>169</v>
      </c>
      <c r="B9" s="102" t="s">
        <v>282</v>
      </c>
      <c r="C9" s="101" t="s">
        <v>396</v>
      </c>
      <c r="D9" s="88" t="s">
        <v>366</v>
      </c>
      <c r="E9" s="88">
        <v>60</v>
      </c>
      <c r="F9" s="16" t="s">
        <v>360</v>
      </c>
      <c r="G9" s="16">
        <v>0</v>
      </c>
      <c r="H9" s="16">
        <v>0</v>
      </c>
      <c r="I9" s="16">
        <f t="shared" si="0"/>
        <v>0</v>
      </c>
      <c r="J9" s="16">
        <v>0</v>
      </c>
      <c r="K9" s="16">
        <v>0</v>
      </c>
      <c r="L9" s="16">
        <v>0</v>
      </c>
      <c r="M9" s="16" t="s">
        <v>361</v>
      </c>
      <c r="N9" s="16">
        <v>0</v>
      </c>
      <c r="O9" s="16">
        <f t="shared" si="1"/>
        <v>60</v>
      </c>
      <c r="P9" s="99">
        <v>60000</v>
      </c>
      <c r="Q9" s="99">
        <f t="shared" si="2"/>
        <v>3600000</v>
      </c>
      <c r="R9" s="99">
        <f t="shared" si="3"/>
        <v>3600000</v>
      </c>
      <c r="S9" s="97"/>
    </row>
    <row r="10" spans="1:20" s="1" customFormat="1" ht="45" x14ac:dyDescent="0.25">
      <c r="A10" s="87" t="s">
        <v>169</v>
      </c>
      <c r="B10" s="102" t="s">
        <v>282</v>
      </c>
      <c r="C10" s="101" t="s">
        <v>367</v>
      </c>
      <c r="D10" s="88" t="s">
        <v>368</v>
      </c>
      <c r="E10" s="88">
        <v>100</v>
      </c>
      <c r="F10" s="16" t="s">
        <v>360</v>
      </c>
      <c r="G10" s="16">
        <v>0</v>
      </c>
      <c r="H10" s="16">
        <v>0</v>
      </c>
      <c r="I10" s="16">
        <f t="shared" si="0"/>
        <v>0</v>
      </c>
      <c r="J10" s="16">
        <v>0</v>
      </c>
      <c r="K10" s="16">
        <v>0</v>
      </c>
      <c r="L10" s="16">
        <v>0</v>
      </c>
      <c r="M10" s="16" t="s">
        <v>361</v>
      </c>
      <c r="N10" s="16">
        <v>0</v>
      </c>
      <c r="O10" s="16">
        <f t="shared" si="1"/>
        <v>100</v>
      </c>
      <c r="P10" s="99">
        <v>60000</v>
      </c>
      <c r="Q10" s="99">
        <f t="shared" si="2"/>
        <v>6000000</v>
      </c>
      <c r="R10" s="99">
        <f t="shared" si="3"/>
        <v>6000000</v>
      </c>
    </row>
    <row r="11" spans="1:20" s="26" customFormat="1" ht="45" x14ac:dyDescent="0.25">
      <c r="A11" s="87" t="s">
        <v>169</v>
      </c>
      <c r="B11" s="57" t="s">
        <v>282</v>
      </c>
      <c r="C11" s="16" t="s">
        <v>403</v>
      </c>
      <c r="D11" s="88" t="s">
        <v>379</v>
      </c>
      <c r="E11" s="16">
        <v>100</v>
      </c>
      <c r="F11" s="34" t="s">
        <v>360</v>
      </c>
      <c r="G11" s="16"/>
      <c r="H11" s="16"/>
      <c r="I11" s="92">
        <f ca="1">SUM(I6:I17)</f>
        <v>0</v>
      </c>
      <c r="J11" s="16"/>
      <c r="K11" s="16"/>
      <c r="L11" s="92">
        <f ca="1">SUM(L6:L17)</f>
        <v>0</v>
      </c>
      <c r="M11" s="16"/>
      <c r="N11" s="16"/>
      <c r="O11" s="16">
        <f t="shared" si="1"/>
        <v>100</v>
      </c>
      <c r="P11" s="99">
        <v>60000</v>
      </c>
      <c r="Q11" s="99">
        <f>+O11*P11</f>
        <v>6000000</v>
      </c>
      <c r="R11" s="99">
        <f ca="1">+I11+L11+Q11</f>
        <v>6000000</v>
      </c>
    </row>
    <row r="12" spans="1:20" s="26" customFormat="1" ht="45" x14ac:dyDescent="0.25">
      <c r="A12" s="87" t="s">
        <v>169</v>
      </c>
      <c r="B12" s="57" t="s">
        <v>404</v>
      </c>
      <c r="C12" s="16" t="s">
        <v>398</v>
      </c>
      <c r="D12" s="16" t="s">
        <v>399</v>
      </c>
      <c r="E12" s="16">
        <v>100</v>
      </c>
      <c r="F12" s="34" t="s">
        <v>360</v>
      </c>
      <c r="G12" s="16">
        <v>0</v>
      </c>
      <c r="H12" s="16">
        <v>0</v>
      </c>
      <c r="I12" s="16">
        <f t="shared" si="0"/>
        <v>0</v>
      </c>
      <c r="J12" s="16">
        <v>0</v>
      </c>
      <c r="K12" s="16">
        <v>0</v>
      </c>
      <c r="L12" s="16">
        <f>+K12*J12</f>
        <v>0</v>
      </c>
      <c r="M12" s="16" t="s">
        <v>361</v>
      </c>
      <c r="N12" s="16">
        <v>0</v>
      </c>
      <c r="O12" s="16">
        <f t="shared" si="1"/>
        <v>100</v>
      </c>
      <c r="P12" s="99">
        <v>60000</v>
      </c>
      <c r="Q12" s="99">
        <f t="shared" si="2"/>
        <v>6000000</v>
      </c>
      <c r="R12" s="99">
        <f t="shared" si="3"/>
        <v>6000000</v>
      </c>
      <c r="S12" s="1"/>
    </row>
    <row r="13" spans="1:20" s="1" customFormat="1" ht="45" x14ac:dyDescent="0.25">
      <c r="A13" s="87" t="s">
        <v>169</v>
      </c>
      <c r="B13" s="57" t="s">
        <v>404</v>
      </c>
      <c r="C13" s="16" t="s">
        <v>377</v>
      </c>
      <c r="D13" s="16" t="s">
        <v>368</v>
      </c>
      <c r="E13" s="16">
        <v>100</v>
      </c>
      <c r="F13" s="34" t="s">
        <v>360</v>
      </c>
      <c r="G13" s="16">
        <v>0</v>
      </c>
      <c r="H13" s="16">
        <v>0</v>
      </c>
      <c r="I13" s="16">
        <f t="shared" si="0"/>
        <v>0</v>
      </c>
      <c r="J13" s="16">
        <v>0</v>
      </c>
      <c r="K13" s="16">
        <v>0</v>
      </c>
      <c r="L13" s="16">
        <f>+K13*J13</f>
        <v>0</v>
      </c>
      <c r="M13" s="16" t="s">
        <v>361</v>
      </c>
      <c r="N13" s="16">
        <v>0</v>
      </c>
      <c r="O13" s="16">
        <f t="shared" si="1"/>
        <v>100</v>
      </c>
      <c r="P13" s="99">
        <v>60000</v>
      </c>
      <c r="Q13" s="99">
        <f t="shared" si="2"/>
        <v>6000000</v>
      </c>
      <c r="R13" s="99">
        <f t="shared" si="3"/>
        <v>6000000</v>
      </c>
    </row>
    <row r="14" spans="1:20" s="1" customFormat="1" ht="45" x14ac:dyDescent="0.25">
      <c r="A14" s="87" t="s">
        <v>169</v>
      </c>
      <c r="B14" s="57" t="s">
        <v>404</v>
      </c>
      <c r="C14" s="16" t="s">
        <v>401</v>
      </c>
      <c r="D14" s="16" t="s">
        <v>368</v>
      </c>
      <c r="E14" s="16">
        <v>300</v>
      </c>
      <c r="F14" s="34" t="s">
        <v>360</v>
      </c>
      <c r="G14" s="16"/>
      <c r="H14" s="16"/>
      <c r="I14" s="16"/>
      <c r="J14" s="16"/>
      <c r="K14" s="16"/>
      <c r="L14" s="16"/>
      <c r="M14" s="16"/>
      <c r="N14" s="16"/>
      <c r="O14" s="16">
        <f t="shared" si="1"/>
        <v>300</v>
      </c>
      <c r="P14" s="99">
        <v>40000</v>
      </c>
      <c r="Q14" s="99">
        <f>+O14*P14</f>
        <v>12000000</v>
      </c>
      <c r="R14" s="99">
        <f>+I14+L14+Q14</f>
        <v>12000000</v>
      </c>
    </row>
    <row r="15" spans="1:20" s="1" customFormat="1" ht="45" x14ac:dyDescent="0.25">
      <c r="A15" s="87" t="s">
        <v>169</v>
      </c>
      <c r="B15" s="57" t="s">
        <v>404</v>
      </c>
      <c r="C15" s="100" t="s">
        <v>397</v>
      </c>
      <c r="D15" s="88" t="s">
        <v>400</v>
      </c>
      <c r="E15" s="88">
        <f>40*5</f>
        <v>200</v>
      </c>
      <c r="F15" s="16" t="s">
        <v>364</v>
      </c>
      <c r="G15" s="16">
        <v>0</v>
      </c>
      <c r="H15" s="16">
        <v>0</v>
      </c>
      <c r="I15" s="16">
        <f>+G15*H15</f>
        <v>0</v>
      </c>
      <c r="J15" s="16">
        <v>0</v>
      </c>
      <c r="K15" s="16">
        <v>0</v>
      </c>
      <c r="L15" s="16">
        <f>+K15*J15</f>
        <v>0</v>
      </c>
      <c r="M15" s="16" t="s">
        <v>361</v>
      </c>
      <c r="N15" s="87"/>
      <c r="O15" s="16">
        <f t="shared" si="1"/>
        <v>200</v>
      </c>
      <c r="P15" s="99"/>
      <c r="Q15" s="99">
        <f t="shared" si="2"/>
        <v>0</v>
      </c>
      <c r="R15" s="99">
        <f t="shared" si="3"/>
        <v>0</v>
      </c>
    </row>
    <row r="16" spans="1:20" s="26" customFormat="1" ht="45" x14ac:dyDescent="0.25">
      <c r="A16" s="87" t="s">
        <v>169</v>
      </c>
      <c r="B16" s="57" t="s">
        <v>404</v>
      </c>
      <c r="C16" s="100" t="s">
        <v>378</v>
      </c>
      <c r="D16" s="88" t="s">
        <v>379</v>
      </c>
      <c r="E16" s="88"/>
      <c r="F16" s="16" t="s">
        <v>380</v>
      </c>
      <c r="G16" s="16">
        <v>0</v>
      </c>
      <c r="H16" s="16">
        <v>0</v>
      </c>
      <c r="I16" s="16">
        <f>+G16*H16</f>
        <v>0</v>
      </c>
      <c r="J16" s="16">
        <v>0</v>
      </c>
      <c r="K16" s="16">
        <v>0</v>
      </c>
      <c r="L16" s="16">
        <f>+K16*J16</f>
        <v>0</v>
      </c>
      <c r="M16" s="16" t="s">
        <v>361</v>
      </c>
      <c r="N16" s="16">
        <v>0</v>
      </c>
      <c r="O16" s="88">
        <v>0</v>
      </c>
      <c r="P16" s="99">
        <v>0</v>
      </c>
      <c r="Q16" s="99">
        <f>+O16*P16</f>
        <v>0</v>
      </c>
      <c r="R16" s="99">
        <f>+I16+L16+Q16</f>
        <v>0</v>
      </c>
    </row>
    <row r="17" spans="1:18" s="1" customFormat="1" ht="45" x14ac:dyDescent="0.25">
      <c r="A17" s="87" t="s">
        <v>169</v>
      </c>
      <c r="B17" s="57" t="s">
        <v>282</v>
      </c>
      <c r="C17" s="100" t="s">
        <v>362</v>
      </c>
      <c r="D17" s="88" t="s">
        <v>363</v>
      </c>
      <c r="E17" s="88">
        <v>60</v>
      </c>
      <c r="F17" s="16" t="s">
        <v>364</v>
      </c>
      <c r="G17" s="16">
        <v>0</v>
      </c>
      <c r="H17" s="16">
        <v>0</v>
      </c>
      <c r="I17" s="16">
        <f>+G17*H17</f>
        <v>0</v>
      </c>
      <c r="J17" s="16">
        <v>0</v>
      </c>
      <c r="K17" s="16">
        <v>0</v>
      </c>
      <c r="L17" s="16">
        <v>0</v>
      </c>
      <c r="M17" s="16" t="s">
        <v>361</v>
      </c>
      <c r="N17" s="16">
        <v>0</v>
      </c>
      <c r="O17" s="16">
        <f>E17</f>
        <v>60</v>
      </c>
      <c r="P17" s="99"/>
      <c r="Q17" s="99">
        <f t="shared" si="2"/>
        <v>0</v>
      </c>
      <c r="R17" s="99">
        <f>+I17+L17+Q17</f>
        <v>0</v>
      </c>
    </row>
    <row r="18" spans="1:18" s="94" customFormat="1" x14ac:dyDescent="0.25">
      <c r="B18" s="93"/>
      <c r="O18" s="95"/>
      <c r="P18" s="95"/>
      <c r="Q18" s="92">
        <f>SUM(Q6:Q17)</f>
        <v>55400000</v>
      </c>
      <c r="R18" s="92">
        <f ca="1">SUM(R6:R17)</f>
        <v>55400000</v>
      </c>
    </row>
    <row r="19" spans="1:18" s="94" customFormat="1" x14ac:dyDescent="0.25">
      <c r="B19" s="93"/>
      <c r="O19" s="95"/>
      <c r="P19" s="95"/>
      <c r="Q19" s="95"/>
      <c r="R19" s="95"/>
    </row>
    <row r="20" spans="1:18" s="94" customFormat="1" x14ac:dyDescent="0.25">
      <c r="B20" s="93"/>
      <c r="O20" s="95"/>
      <c r="P20" s="95"/>
      <c r="Q20" s="95"/>
      <c r="R20" s="95"/>
    </row>
    <row r="21" spans="1:18" s="94" customFormat="1" x14ac:dyDescent="0.25">
      <c r="B21" s="93"/>
      <c r="O21" s="95"/>
      <c r="P21" s="95"/>
      <c r="Q21" s="95"/>
      <c r="R21" s="95"/>
    </row>
    <row r="22" spans="1:18" s="94" customFormat="1" x14ac:dyDescent="0.25">
      <c r="B22" s="93"/>
      <c r="O22" s="95"/>
      <c r="P22" s="95"/>
      <c r="Q22" s="95"/>
      <c r="R22" s="95"/>
    </row>
    <row r="23" spans="1:18" s="94" customFormat="1" x14ac:dyDescent="0.25">
      <c r="B23" s="93"/>
      <c r="O23" s="95"/>
      <c r="P23" s="95"/>
      <c r="Q23" s="95"/>
      <c r="R23" s="95"/>
    </row>
    <row r="24" spans="1:18" s="94" customFormat="1" x14ac:dyDescent="0.25">
      <c r="B24" s="93"/>
      <c r="O24" s="95"/>
      <c r="P24" s="95"/>
      <c r="Q24" s="95"/>
      <c r="R24" s="95"/>
    </row>
    <row r="25" spans="1:18" s="94" customFormat="1" x14ac:dyDescent="0.25">
      <c r="B25" s="93"/>
      <c r="O25" s="95"/>
      <c r="P25" s="95"/>
      <c r="Q25" s="95"/>
      <c r="R25" s="95"/>
    </row>
    <row r="26" spans="1:18" s="94" customFormat="1" x14ac:dyDescent="0.25">
      <c r="B26" s="93"/>
      <c r="O26" s="95"/>
      <c r="P26" s="95"/>
      <c r="Q26" s="95"/>
      <c r="R26" s="95"/>
    </row>
    <row r="27" spans="1:18" s="94" customFormat="1" x14ac:dyDescent="0.25">
      <c r="B27" s="93"/>
      <c r="O27" s="95"/>
      <c r="P27" s="95"/>
      <c r="Q27" s="95"/>
      <c r="R27" s="95"/>
    </row>
    <row r="28" spans="1:18" s="94" customFormat="1" x14ac:dyDescent="0.25">
      <c r="B28" s="93"/>
      <c r="O28" s="95"/>
      <c r="P28" s="95"/>
      <c r="Q28" s="95"/>
      <c r="R28" s="95"/>
    </row>
    <row r="29" spans="1:18" s="94" customFormat="1" x14ac:dyDescent="0.25">
      <c r="B29" s="93"/>
      <c r="O29" s="95"/>
      <c r="P29" s="95"/>
      <c r="Q29" s="95"/>
      <c r="R29" s="95"/>
    </row>
    <row r="30" spans="1:18" s="94" customFormat="1" x14ac:dyDescent="0.25">
      <c r="B30" s="93"/>
      <c r="O30" s="95"/>
      <c r="P30" s="95"/>
      <c r="Q30" s="95"/>
      <c r="R30" s="95"/>
    </row>
    <row r="31" spans="1:18" s="94" customFormat="1" x14ac:dyDescent="0.25">
      <c r="B31" s="93"/>
      <c r="O31" s="95"/>
      <c r="P31" s="95"/>
      <c r="Q31" s="95"/>
      <c r="R31" s="95"/>
    </row>
    <row r="32" spans="1:18" s="94" customFormat="1" x14ac:dyDescent="0.25">
      <c r="B32" s="93"/>
      <c r="O32" s="95"/>
      <c r="P32" s="95"/>
      <c r="Q32" s="95"/>
      <c r="R32" s="95"/>
    </row>
    <row r="33" spans="2:18" s="94" customFormat="1" x14ac:dyDescent="0.25">
      <c r="B33" s="93"/>
      <c r="O33" s="95"/>
      <c r="P33" s="95"/>
      <c r="Q33" s="95"/>
      <c r="R33" s="95"/>
    </row>
    <row r="34" spans="2:18" s="94" customFormat="1" x14ac:dyDescent="0.25">
      <c r="B34" s="93"/>
      <c r="O34" s="95"/>
      <c r="P34" s="95"/>
      <c r="Q34" s="95"/>
      <c r="R34" s="95"/>
    </row>
    <row r="35" spans="2:18" s="94" customFormat="1" x14ac:dyDescent="0.25">
      <c r="B35" s="93"/>
      <c r="O35" s="95"/>
      <c r="P35" s="95"/>
      <c r="Q35" s="95"/>
      <c r="R35" s="95"/>
    </row>
    <row r="36" spans="2:18" s="94" customFormat="1" x14ac:dyDescent="0.25">
      <c r="B36" s="93"/>
      <c r="O36" s="95"/>
      <c r="P36" s="95"/>
      <c r="Q36" s="95"/>
      <c r="R36" s="95"/>
    </row>
    <row r="37" spans="2:18" s="94" customFormat="1" x14ac:dyDescent="0.25">
      <c r="B37" s="93"/>
      <c r="O37" s="95"/>
      <c r="P37" s="95"/>
      <c r="Q37" s="95"/>
      <c r="R37" s="95"/>
    </row>
    <row r="38" spans="2:18" s="94" customFormat="1" x14ac:dyDescent="0.25">
      <c r="B38" s="93"/>
      <c r="O38" s="95"/>
      <c r="P38" s="95"/>
      <c r="Q38" s="95"/>
      <c r="R38" s="95"/>
    </row>
    <row r="39" spans="2:18" s="94" customFormat="1" x14ac:dyDescent="0.25">
      <c r="B39" s="93"/>
      <c r="O39" s="95"/>
      <c r="P39" s="95"/>
      <c r="Q39" s="95"/>
      <c r="R39" s="95"/>
    </row>
    <row r="40" spans="2:18" s="94" customFormat="1" x14ac:dyDescent="0.25">
      <c r="B40" s="93"/>
      <c r="O40" s="95"/>
      <c r="P40" s="95"/>
      <c r="Q40" s="95"/>
      <c r="R40" s="95"/>
    </row>
    <row r="41" spans="2:18" s="94" customFormat="1" x14ac:dyDescent="0.25">
      <c r="B41" s="93"/>
      <c r="O41" s="95"/>
      <c r="P41" s="95"/>
      <c r="Q41" s="95"/>
      <c r="R41" s="95"/>
    </row>
    <row r="42" spans="2:18" s="94" customFormat="1" x14ac:dyDescent="0.25">
      <c r="B42" s="93"/>
      <c r="O42" s="95"/>
      <c r="P42" s="95"/>
      <c r="Q42" s="95"/>
      <c r="R42" s="95"/>
    </row>
    <row r="43" spans="2:18" s="94" customFormat="1" x14ac:dyDescent="0.25">
      <c r="B43" s="93"/>
      <c r="O43" s="95"/>
      <c r="P43" s="95"/>
      <c r="Q43" s="95"/>
      <c r="R43" s="95"/>
    </row>
    <row r="44" spans="2:18" s="94" customFormat="1" x14ac:dyDescent="0.25">
      <c r="B44" s="93"/>
      <c r="O44" s="95"/>
      <c r="P44" s="95"/>
      <c r="Q44" s="95"/>
      <c r="R44" s="95"/>
    </row>
    <row r="45" spans="2:18" s="94" customFormat="1" x14ac:dyDescent="0.25">
      <c r="B45" s="93"/>
      <c r="O45" s="95"/>
      <c r="P45" s="95"/>
      <c r="Q45" s="95"/>
      <c r="R45" s="95"/>
    </row>
    <row r="46" spans="2:18" s="94" customFormat="1" x14ac:dyDescent="0.25">
      <c r="B46" s="93"/>
      <c r="O46" s="95"/>
      <c r="P46" s="95"/>
      <c r="Q46" s="95"/>
      <c r="R46" s="95"/>
    </row>
    <row r="47" spans="2:18" s="94" customFormat="1" x14ac:dyDescent="0.25">
      <c r="B47" s="93"/>
      <c r="O47" s="95"/>
      <c r="P47" s="95"/>
      <c r="Q47" s="95"/>
      <c r="R47" s="95"/>
    </row>
    <row r="48" spans="2:18" s="94" customFormat="1" x14ac:dyDescent="0.25">
      <c r="B48" s="93"/>
      <c r="O48" s="95"/>
      <c r="P48" s="95"/>
      <c r="Q48" s="95"/>
      <c r="R48" s="95"/>
    </row>
    <row r="49" spans="2:18" s="94" customFormat="1" x14ac:dyDescent="0.25">
      <c r="B49" s="93"/>
      <c r="O49" s="95"/>
      <c r="P49" s="95"/>
      <c r="Q49" s="95"/>
      <c r="R49" s="95"/>
    </row>
    <row r="50" spans="2:18" s="94" customFormat="1" x14ac:dyDescent="0.25">
      <c r="B50" s="93"/>
      <c r="O50" s="95"/>
      <c r="P50" s="95"/>
      <c r="Q50" s="95"/>
      <c r="R50" s="95"/>
    </row>
    <row r="51" spans="2:18" s="94" customFormat="1" x14ac:dyDescent="0.25">
      <c r="B51" s="93"/>
      <c r="O51" s="95"/>
      <c r="P51" s="95"/>
      <c r="Q51" s="95"/>
      <c r="R51" s="95"/>
    </row>
    <row r="52" spans="2:18" s="94" customFormat="1" x14ac:dyDescent="0.25">
      <c r="B52" s="93"/>
      <c r="O52" s="95"/>
      <c r="P52" s="95"/>
      <c r="Q52" s="95"/>
      <c r="R52" s="95"/>
    </row>
    <row r="53" spans="2:18" s="94" customFormat="1" x14ac:dyDescent="0.25">
      <c r="B53" s="93"/>
      <c r="O53" s="95"/>
      <c r="P53" s="95"/>
      <c r="Q53" s="95"/>
      <c r="R53" s="95"/>
    </row>
    <row r="54" spans="2:18" s="94" customFormat="1" x14ac:dyDescent="0.25">
      <c r="B54" s="93"/>
      <c r="O54" s="95"/>
      <c r="P54" s="95"/>
      <c r="Q54" s="95"/>
      <c r="R54" s="95"/>
    </row>
    <row r="55" spans="2:18" s="94" customFormat="1" x14ac:dyDescent="0.25">
      <c r="B55" s="93"/>
      <c r="O55" s="95"/>
      <c r="P55" s="95"/>
      <c r="Q55" s="95"/>
      <c r="R55" s="95"/>
    </row>
    <row r="56" spans="2:18" s="94" customFormat="1" x14ac:dyDescent="0.25">
      <c r="B56" s="93"/>
      <c r="O56" s="95"/>
      <c r="P56" s="95"/>
      <c r="Q56" s="95"/>
      <c r="R56" s="95"/>
    </row>
    <row r="57" spans="2:18" s="94" customFormat="1" x14ac:dyDescent="0.25">
      <c r="B57" s="93"/>
      <c r="O57" s="95"/>
      <c r="P57" s="95"/>
      <c r="Q57" s="95"/>
      <c r="R57" s="95"/>
    </row>
    <row r="58" spans="2:18" s="94" customFormat="1" x14ac:dyDescent="0.25">
      <c r="B58" s="93"/>
      <c r="O58" s="95"/>
      <c r="P58" s="95"/>
      <c r="Q58" s="95"/>
      <c r="R58" s="95"/>
    </row>
    <row r="59" spans="2:18" s="94" customFormat="1" x14ac:dyDescent="0.25">
      <c r="B59" s="93"/>
      <c r="O59" s="95"/>
      <c r="P59" s="95"/>
      <c r="Q59" s="95"/>
      <c r="R59" s="95"/>
    </row>
    <row r="60" spans="2:18" s="94" customFormat="1" x14ac:dyDescent="0.25">
      <c r="B60" s="93"/>
      <c r="O60" s="95"/>
      <c r="P60" s="95"/>
      <c r="Q60" s="95"/>
      <c r="R60" s="95"/>
    </row>
    <row r="61" spans="2:18" s="94" customFormat="1" x14ac:dyDescent="0.25">
      <c r="B61" s="93"/>
      <c r="O61" s="95"/>
      <c r="P61" s="95"/>
      <c r="Q61" s="95"/>
      <c r="R61" s="95"/>
    </row>
    <row r="62" spans="2:18" s="94" customFormat="1" x14ac:dyDescent="0.25">
      <c r="B62" s="93"/>
      <c r="O62" s="95"/>
      <c r="P62" s="95"/>
      <c r="Q62" s="95"/>
      <c r="R62" s="95"/>
    </row>
    <row r="63" spans="2:18" s="94" customFormat="1" x14ac:dyDescent="0.25">
      <c r="B63" s="93"/>
      <c r="O63" s="95"/>
      <c r="P63" s="95"/>
      <c r="Q63" s="95"/>
      <c r="R63" s="95"/>
    </row>
    <row r="64" spans="2:18" s="94" customFormat="1" x14ac:dyDescent="0.25">
      <c r="B64" s="93"/>
      <c r="O64" s="95"/>
      <c r="P64" s="95"/>
      <c r="Q64" s="95"/>
      <c r="R64" s="95"/>
    </row>
    <row r="65" spans="2:18" s="94" customFormat="1" x14ac:dyDescent="0.25">
      <c r="B65" s="93"/>
      <c r="O65" s="95"/>
      <c r="P65" s="95"/>
      <c r="Q65" s="95"/>
      <c r="R65" s="95"/>
    </row>
    <row r="66" spans="2:18" s="94" customFormat="1" x14ac:dyDescent="0.25">
      <c r="B66" s="93"/>
      <c r="O66" s="95"/>
      <c r="P66" s="95"/>
      <c r="Q66" s="95"/>
      <c r="R66" s="95"/>
    </row>
    <row r="67" spans="2:18" s="94" customFormat="1" x14ac:dyDescent="0.25">
      <c r="B67" s="93"/>
      <c r="O67" s="95"/>
      <c r="P67" s="95"/>
      <c r="Q67" s="95"/>
      <c r="R67" s="95"/>
    </row>
    <row r="68" spans="2:18" s="94" customFormat="1" x14ac:dyDescent="0.25">
      <c r="B68" s="93"/>
      <c r="O68" s="95"/>
      <c r="P68" s="95"/>
      <c r="Q68" s="95"/>
      <c r="R68" s="95"/>
    </row>
    <row r="69" spans="2:18" s="94" customFormat="1" x14ac:dyDescent="0.25">
      <c r="B69" s="93"/>
      <c r="O69" s="95"/>
      <c r="P69" s="95"/>
      <c r="Q69" s="95"/>
      <c r="R69" s="95"/>
    </row>
    <row r="70" spans="2:18" s="94" customFormat="1" x14ac:dyDescent="0.25">
      <c r="B70" s="93"/>
      <c r="O70" s="95"/>
      <c r="P70" s="95"/>
      <c r="Q70" s="95"/>
      <c r="R70" s="95"/>
    </row>
    <row r="71" spans="2:18" s="94" customFormat="1" x14ac:dyDescent="0.25">
      <c r="B71" s="93"/>
      <c r="O71" s="95"/>
      <c r="P71" s="95"/>
      <c r="Q71" s="95"/>
      <c r="R71" s="95"/>
    </row>
    <row r="72" spans="2:18" s="94" customFormat="1" x14ac:dyDescent="0.25">
      <c r="B72" s="93"/>
      <c r="O72" s="95"/>
      <c r="P72" s="95"/>
      <c r="Q72" s="95"/>
      <c r="R72" s="95"/>
    </row>
    <row r="73" spans="2:18" s="94" customFormat="1" x14ac:dyDescent="0.25">
      <c r="B73" s="93"/>
      <c r="O73" s="95"/>
      <c r="P73" s="95"/>
      <c r="Q73" s="95"/>
      <c r="R73" s="95"/>
    </row>
    <row r="74" spans="2:18" s="94" customFormat="1" x14ac:dyDescent="0.25">
      <c r="B74" s="93"/>
      <c r="O74" s="95"/>
      <c r="P74" s="95"/>
      <c r="Q74" s="95"/>
      <c r="R74" s="95"/>
    </row>
    <row r="75" spans="2:18" s="94" customFormat="1" x14ac:dyDescent="0.25">
      <c r="B75" s="93"/>
      <c r="O75" s="95"/>
      <c r="P75" s="95"/>
      <c r="Q75" s="95"/>
      <c r="R75" s="95"/>
    </row>
    <row r="76" spans="2:18" s="94" customFormat="1" x14ac:dyDescent="0.25">
      <c r="B76" s="93"/>
      <c r="O76" s="95"/>
      <c r="P76" s="95"/>
      <c r="Q76" s="95"/>
      <c r="R76" s="95"/>
    </row>
    <row r="77" spans="2:18" s="94" customFormat="1" x14ac:dyDescent="0.25">
      <c r="B77" s="93"/>
      <c r="O77" s="95"/>
      <c r="P77" s="95"/>
      <c r="Q77" s="95"/>
      <c r="R77" s="95"/>
    </row>
    <row r="78" spans="2:18" s="94" customFormat="1" x14ac:dyDescent="0.25">
      <c r="B78" s="93"/>
      <c r="O78" s="95"/>
      <c r="P78" s="95"/>
      <c r="Q78" s="95"/>
      <c r="R78" s="95"/>
    </row>
    <row r="79" spans="2:18" s="94" customFormat="1" x14ac:dyDescent="0.25">
      <c r="B79" s="93"/>
      <c r="O79" s="95"/>
      <c r="P79" s="95"/>
      <c r="Q79" s="95"/>
      <c r="R79" s="95"/>
    </row>
    <row r="80" spans="2:18" s="94" customFormat="1" x14ac:dyDescent="0.25">
      <c r="B80" s="93"/>
      <c r="O80" s="95"/>
      <c r="P80" s="95"/>
      <c r="Q80" s="95"/>
      <c r="R80" s="95"/>
    </row>
    <row r="81" spans="2:18" s="94" customFormat="1" x14ac:dyDescent="0.25">
      <c r="B81" s="93"/>
      <c r="O81" s="95"/>
      <c r="P81" s="95"/>
      <c r="Q81" s="95"/>
      <c r="R81" s="95"/>
    </row>
    <row r="82" spans="2:18" s="94" customFormat="1" x14ac:dyDescent="0.25">
      <c r="B82" s="93"/>
      <c r="O82" s="95"/>
      <c r="P82" s="95"/>
      <c r="Q82" s="95"/>
      <c r="R82" s="95"/>
    </row>
    <row r="83" spans="2:18" s="94" customFormat="1" x14ac:dyDescent="0.25">
      <c r="B83" s="93"/>
      <c r="O83" s="95"/>
      <c r="P83" s="95"/>
      <c r="Q83" s="95"/>
      <c r="R83" s="95"/>
    </row>
    <row r="84" spans="2:18" s="94" customFormat="1" x14ac:dyDescent="0.25">
      <c r="B84" s="93"/>
      <c r="O84" s="95"/>
      <c r="P84" s="95"/>
      <c r="Q84" s="95"/>
      <c r="R84" s="95"/>
    </row>
    <row r="85" spans="2:18" s="94" customFormat="1" x14ac:dyDescent="0.25">
      <c r="B85" s="93"/>
      <c r="O85" s="95"/>
      <c r="P85" s="95"/>
      <c r="Q85" s="95"/>
      <c r="R85" s="95"/>
    </row>
    <row r="86" spans="2:18" s="94" customFormat="1" x14ac:dyDescent="0.25">
      <c r="B86" s="93"/>
      <c r="O86" s="95"/>
      <c r="P86" s="95"/>
      <c r="Q86" s="95"/>
      <c r="R86" s="95"/>
    </row>
    <row r="87" spans="2:18" s="94" customFormat="1" x14ac:dyDescent="0.25">
      <c r="B87" s="93"/>
      <c r="O87" s="95"/>
      <c r="P87" s="95"/>
      <c r="Q87" s="95"/>
      <c r="R87" s="95"/>
    </row>
    <row r="88" spans="2:18" s="94" customFormat="1" x14ac:dyDescent="0.25">
      <c r="B88" s="93"/>
      <c r="O88" s="95"/>
      <c r="P88" s="95"/>
      <c r="Q88" s="95"/>
      <c r="R88" s="95"/>
    </row>
    <row r="89" spans="2:18" s="94" customFormat="1" x14ac:dyDescent="0.25">
      <c r="B89" s="93"/>
      <c r="O89" s="95"/>
      <c r="P89" s="95"/>
      <c r="Q89" s="95"/>
      <c r="R89" s="95"/>
    </row>
    <row r="90" spans="2:18" s="94" customFormat="1" x14ac:dyDescent="0.25">
      <c r="B90" s="93"/>
      <c r="O90" s="95"/>
      <c r="P90" s="95"/>
      <c r="Q90" s="95"/>
      <c r="R90" s="95"/>
    </row>
    <row r="91" spans="2:18" s="94" customFormat="1" x14ac:dyDescent="0.25">
      <c r="B91" s="93"/>
      <c r="O91" s="95"/>
      <c r="P91" s="95"/>
      <c r="Q91" s="95"/>
      <c r="R91" s="95"/>
    </row>
    <row r="92" spans="2:18" s="94" customFormat="1" x14ac:dyDescent="0.25">
      <c r="B92" s="93"/>
      <c r="O92" s="95"/>
      <c r="P92" s="95"/>
      <c r="Q92" s="95"/>
      <c r="R92" s="95"/>
    </row>
    <row r="93" spans="2:18" s="94" customFormat="1" x14ac:dyDescent="0.25">
      <c r="B93" s="93"/>
      <c r="O93" s="95"/>
      <c r="P93" s="95"/>
      <c r="Q93" s="95"/>
      <c r="R93" s="95"/>
    </row>
    <row r="94" spans="2:18" s="94" customFormat="1" x14ac:dyDescent="0.25">
      <c r="B94" s="93"/>
      <c r="O94" s="95"/>
      <c r="P94" s="95"/>
      <c r="Q94" s="95"/>
      <c r="R94" s="95"/>
    </row>
    <row r="95" spans="2:18" s="94" customFormat="1" x14ac:dyDescent="0.25">
      <c r="B95" s="93"/>
      <c r="O95" s="95"/>
      <c r="P95" s="95"/>
      <c r="Q95" s="95"/>
      <c r="R95" s="95"/>
    </row>
    <row r="96" spans="2:18" s="94" customFormat="1" x14ac:dyDescent="0.25">
      <c r="B96" s="93"/>
      <c r="O96" s="95"/>
      <c r="P96" s="95"/>
      <c r="Q96" s="95"/>
      <c r="R96" s="95"/>
    </row>
    <row r="97" spans="2:18" s="94" customFormat="1" x14ac:dyDescent="0.25">
      <c r="B97" s="93"/>
      <c r="O97" s="95"/>
      <c r="P97" s="95"/>
      <c r="Q97" s="95"/>
      <c r="R97" s="95"/>
    </row>
    <row r="98" spans="2:18" s="94" customFormat="1" x14ac:dyDescent="0.25">
      <c r="B98" s="93"/>
      <c r="O98" s="95"/>
      <c r="P98" s="95"/>
      <c r="Q98" s="95"/>
      <c r="R98" s="95"/>
    </row>
    <row r="99" spans="2:18" s="94" customFormat="1" x14ac:dyDescent="0.25">
      <c r="B99" s="93"/>
      <c r="O99" s="95"/>
      <c r="P99" s="95"/>
      <c r="Q99" s="95"/>
      <c r="R99" s="95"/>
    </row>
    <row r="100" spans="2:18" s="94" customFormat="1" x14ac:dyDescent="0.25">
      <c r="B100" s="93"/>
      <c r="O100" s="95"/>
      <c r="P100" s="95"/>
      <c r="Q100" s="95"/>
      <c r="R100" s="95"/>
    </row>
    <row r="101" spans="2:18" s="94" customFormat="1" x14ac:dyDescent="0.25">
      <c r="B101" s="93"/>
      <c r="O101" s="95"/>
      <c r="P101" s="95"/>
      <c r="Q101" s="95"/>
      <c r="R101" s="95"/>
    </row>
    <row r="102" spans="2:18" s="94" customFormat="1" x14ac:dyDescent="0.25">
      <c r="B102" s="93"/>
      <c r="O102" s="95"/>
      <c r="P102" s="95"/>
      <c r="Q102" s="95"/>
      <c r="R102" s="95"/>
    </row>
    <row r="103" spans="2:18" s="94" customFormat="1" x14ac:dyDescent="0.25">
      <c r="B103" s="93"/>
      <c r="O103" s="95"/>
      <c r="P103" s="95"/>
      <c r="Q103" s="95"/>
      <c r="R103" s="95"/>
    </row>
    <row r="104" spans="2:18" s="94" customFormat="1" x14ac:dyDescent="0.25">
      <c r="B104" s="93"/>
      <c r="O104" s="95"/>
      <c r="P104" s="95"/>
      <c r="Q104" s="95"/>
      <c r="R104" s="95"/>
    </row>
    <row r="105" spans="2:18" s="94" customFormat="1" x14ac:dyDescent="0.25">
      <c r="B105" s="93"/>
      <c r="O105" s="95"/>
      <c r="P105" s="95"/>
      <c r="Q105" s="95"/>
      <c r="R105" s="95"/>
    </row>
    <row r="106" spans="2:18" s="94" customFormat="1" x14ac:dyDescent="0.25">
      <c r="B106" s="93"/>
      <c r="O106" s="95"/>
      <c r="P106" s="95"/>
      <c r="Q106" s="95"/>
      <c r="R106" s="95"/>
    </row>
    <row r="107" spans="2:18" s="94" customFormat="1" x14ac:dyDescent="0.25">
      <c r="B107" s="93"/>
      <c r="O107" s="95"/>
      <c r="P107" s="95"/>
      <c r="Q107" s="95"/>
      <c r="R107" s="95"/>
    </row>
    <row r="108" spans="2:18" s="94" customFormat="1" x14ac:dyDescent="0.25">
      <c r="B108" s="93"/>
      <c r="O108" s="95"/>
      <c r="P108" s="95"/>
      <c r="Q108" s="95"/>
      <c r="R108" s="95"/>
    </row>
    <row r="109" spans="2:18" s="94" customFormat="1" x14ac:dyDescent="0.25">
      <c r="B109" s="93"/>
      <c r="O109" s="95"/>
      <c r="P109" s="95"/>
      <c r="Q109" s="95"/>
      <c r="R109" s="95"/>
    </row>
    <row r="110" spans="2:18" s="94" customFormat="1" x14ac:dyDescent="0.25">
      <c r="B110" s="93"/>
      <c r="O110" s="95"/>
      <c r="P110" s="95"/>
      <c r="Q110" s="95"/>
      <c r="R110" s="95"/>
    </row>
    <row r="111" spans="2:18" s="94" customFormat="1" x14ac:dyDescent="0.25">
      <c r="B111" s="93"/>
      <c r="O111" s="95"/>
      <c r="P111" s="95"/>
      <c r="Q111" s="95"/>
      <c r="R111" s="95"/>
    </row>
    <row r="112" spans="2:18" s="94" customFormat="1" x14ac:dyDescent="0.25">
      <c r="B112" s="93"/>
      <c r="O112" s="95"/>
      <c r="P112" s="95"/>
      <c r="Q112" s="95"/>
      <c r="R112" s="95"/>
    </row>
    <row r="113" spans="2:18" s="94" customFormat="1" x14ac:dyDescent="0.25">
      <c r="B113" s="93"/>
      <c r="O113" s="95"/>
      <c r="P113" s="95"/>
      <c r="Q113" s="95"/>
      <c r="R113" s="95"/>
    </row>
    <row r="114" spans="2:18" s="94" customFormat="1" x14ac:dyDescent="0.25">
      <c r="B114" s="93"/>
      <c r="O114" s="95"/>
      <c r="P114" s="95"/>
      <c r="Q114" s="95"/>
      <c r="R114" s="95"/>
    </row>
    <row r="115" spans="2:18" s="94" customFormat="1" x14ac:dyDescent="0.25">
      <c r="B115" s="93"/>
      <c r="O115" s="95"/>
      <c r="P115" s="95"/>
      <c r="Q115" s="95"/>
      <c r="R115" s="95"/>
    </row>
    <row r="116" spans="2:18" s="94" customFormat="1" x14ac:dyDescent="0.25">
      <c r="B116" s="93"/>
      <c r="O116" s="95"/>
      <c r="P116" s="95"/>
      <c r="Q116" s="95"/>
      <c r="R116" s="95"/>
    </row>
    <row r="117" spans="2:18" s="94" customFormat="1" x14ac:dyDescent="0.25">
      <c r="B117" s="93"/>
      <c r="O117" s="95"/>
      <c r="P117" s="95"/>
      <c r="Q117" s="95"/>
      <c r="R117" s="95"/>
    </row>
    <row r="118" spans="2:18" s="94" customFormat="1" x14ac:dyDescent="0.25">
      <c r="B118" s="93"/>
      <c r="O118" s="95"/>
      <c r="P118" s="95"/>
      <c r="Q118" s="95"/>
      <c r="R118" s="95"/>
    </row>
    <row r="119" spans="2:18" s="94" customFormat="1" x14ac:dyDescent="0.25">
      <c r="B119" s="93"/>
      <c r="O119" s="95"/>
      <c r="P119" s="95"/>
      <c r="Q119" s="95"/>
      <c r="R119" s="95"/>
    </row>
    <row r="120" spans="2:18" s="94" customFormat="1" x14ac:dyDescent="0.25">
      <c r="B120" s="93"/>
      <c r="O120" s="95"/>
      <c r="P120" s="95"/>
      <c r="Q120" s="95"/>
      <c r="R120" s="95"/>
    </row>
    <row r="121" spans="2:18" s="94" customFormat="1" x14ac:dyDescent="0.25">
      <c r="B121" s="93"/>
      <c r="O121" s="95"/>
      <c r="P121" s="95"/>
      <c r="Q121" s="95"/>
      <c r="R121" s="95"/>
    </row>
    <row r="122" spans="2:18" s="94" customFormat="1" x14ac:dyDescent="0.25">
      <c r="B122" s="93"/>
      <c r="O122" s="95"/>
      <c r="P122" s="95"/>
      <c r="Q122" s="95"/>
      <c r="R122" s="95"/>
    </row>
    <row r="123" spans="2:18" s="94" customFormat="1" x14ac:dyDescent="0.25">
      <c r="B123" s="93"/>
      <c r="O123" s="95"/>
      <c r="P123" s="95"/>
      <c r="Q123" s="95"/>
      <c r="R123" s="95"/>
    </row>
    <row r="124" spans="2:18" s="94" customFormat="1" x14ac:dyDescent="0.25">
      <c r="B124" s="93"/>
      <c r="O124" s="95"/>
      <c r="P124" s="95"/>
      <c r="Q124" s="95"/>
      <c r="R124" s="95"/>
    </row>
    <row r="125" spans="2:18" s="94" customFormat="1" x14ac:dyDescent="0.25">
      <c r="B125" s="93"/>
      <c r="O125" s="95"/>
      <c r="P125" s="95"/>
      <c r="Q125" s="95"/>
      <c r="R125" s="95"/>
    </row>
    <row r="126" spans="2:18" s="94" customFormat="1" x14ac:dyDescent="0.25">
      <c r="B126" s="93"/>
      <c r="O126" s="95"/>
      <c r="P126" s="95"/>
      <c r="Q126" s="95"/>
      <c r="R126" s="95"/>
    </row>
    <row r="127" spans="2:18" s="94" customFormat="1" x14ac:dyDescent="0.25">
      <c r="B127" s="93"/>
      <c r="O127" s="95"/>
      <c r="P127" s="95"/>
      <c r="Q127" s="95"/>
      <c r="R127" s="95"/>
    </row>
    <row r="128" spans="2:18" s="94" customFormat="1" x14ac:dyDescent="0.25">
      <c r="B128" s="93"/>
      <c r="O128" s="95"/>
      <c r="P128" s="95"/>
      <c r="Q128" s="95"/>
      <c r="R128" s="95"/>
    </row>
    <row r="129" spans="2:18" s="94" customFormat="1" x14ac:dyDescent="0.25">
      <c r="B129" s="93"/>
      <c r="O129" s="95"/>
      <c r="P129" s="95"/>
      <c r="Q129" s="95"/>
      <c r="R129" s="95"/>
    </row>
    <row r="130" spans="2:18" s="94" customFormat="1" x14ac:dyDescent="0.25">
      <c r="B130" s="93"/>
      <c r="O130" s="95"/>
      <c r="P130" s="95"/>
      <c r="Q130" s="95"/>
      <c r="R130" s="95"/>
    </row>
    <row r="131" spans="2:18" s="94" customFormat="1" x14ac:dyDescent="0.25">
      <c r="B131" s="93"/>
      <c r="O131" s="95"/>
      <c r="P131" s="95"/>
      <c r="Q131" s="95"/>
      <c r="R131" s="95"/>
    </row>
    <row r="132" spans="2:18" s="94" customFormat="1" x14ac:dyDescent="0.25">
      <c r="B132" s="93"/>
      <c r="O132" s="95"/>
      <c r="P132" s="95"/>
      <c r="Q132" s="95"/>
      <c r="R132" s="95"/>
    </row>
    <row r="133" spans="2:18" s="94" customFormat="1" x14ac:dyDescent="0.25">
      <c r="B133" s="93"/>
      <c r="O133" s="95"/>
      <c r="P133" s="95"/>
      <c r="Q133" s="95"/>
      <c r="R133" s="95"/>
    </row>
    <row r="134" spans="2:18" s="94" customFormat="1" x14ac:dyDescent="0.25">
      <c r="B134" s="93"/>
      <c r="O134" s="95"/>
      <c r="P134" s="95"/>
      <c r="Q134" s="95"/>
      <c r="R134" s="95"/>
    </row>
    <row r="135" spans="2:18" s="94" customFormat="1" x14ac:dyDescent="0.25">
      <c r="B135" s="93"/>
      <c r="O135" s="95"/>
      <c r="P135" s="95"/>
      <c r="Q135" s="95"/>
      <c r="R135" s="95"/>
    </row>
    <row r="136" spans="2:18" s="94" customFormat="1" x14ac:dyDescent="0.25">
      <c r="B136" s="93"/>
      <c r="O136" s="95"/>
      <c r="P136" s="95"/>
      <c r="Q136" s="95"/>
      <c r="R136" s="95"/>
    </row>
    <row r="137" spans="2:18" s="94" customFormat="1" x14ac:dyDescent="0.25">
      <c r="B137" s="93"/>
      <c r="O137" s="95"/>
      <c r="P137" s="95"/>
      <c r="Q137" s="95"/>
      <c r="R137" s="95"/>
    </row>
    <row r="138" spans="2:18" s="94" customFormat="1" x14ac:dyDescent="0.25">
      <c r="B138" s="93"/>
      <c r="O138" s="95"/>
      <c r="P138" s="95"/>
      <c r="Q138" s="95"/>
      <c r="R138" s="95"/>
    </row>
    <row r="139" spans="2:18" s="94" customFormat="1" x14ac:dyDescent="0.25">
      <c r="B139" s="93"/>
      <c r="O139" s="95"/>
      <c r="P139" s="95"/>
      <c r="Q139" s="95"/>
      <c r="R139" s="95"/>
    </row>
    <row r="140" spans="2:18" s="94" customFormat="1" x14ac:dyDescent="0.25">
      <c r="B140" s="93"/>
      <c r="O140" s="95"/>
      <c r="P140" s="95"/>
      <c r="Q140" s="95"/>
      <c r="R140" s="95"/>
    </row>
    <row r="141" spans="2:18" s="94" customFormat="1" x14ac:dyDescent="0.25">
      <c r="B141" s="93"/>
      <c r="O141" s="95"/>
      <c r="P141" s="95"/>
      <c r="Q141" s="95"/>
      <c r="R141" s="95"/>
    </row>
    <row r="142" spans="2:18" s="94" customFormat="1" x14ac:dyDescent="0.25">
      <c r="B142" s="93"/>
      <c r="O142" s="95"/>
      <c r="P142" s="95"/>
      <c r="Q142" s="95"/>
      <c r="R142" s="95"/>
    </row>
    <row r="143" spans="2:18" s="94" customFormat="1" x14ac:dyDescent="0.25">
      <c r="B143" s="93"/>
      <c r="O143" s="95"/>
      <c r="P143" s="95"/>
      <c r="Q143" s="95"/>
      <c r="R143" s="95"/>
    </row>
    <row r="144" spans="2:18" s="94" customFormat="1" x14ac:dyDescent="0.25">
      <c r="B144" s="93"/>
      <c r="O144" s="95"/>
      <c r="P144" s="95"/>
      <c r="Q144" s="95"/>
      <c r="R144" s="95"/>
    </row>
    <row r="145" spans="2:18" s="94" customFormat="1" x14ac:dyDescent="0.25">
      <c r="B145" s="93"/>
      <c r="O145" s="95"/>
      <c r="P145" s="95"/>
      <c r="Q145" s="95"/>
      <c r="R145" s="95"/>
    </row>
    <row r="146" spans="2:18" s="94" customFormat="1" x14ac:dyDescent="0.25">
      <c r="B146" s="93"/>
      <c r="O146" s="95"/>
      <c r="P146" s="95"/>
      <c r="Q146" s="95"/>
      <c r="R146" s="95"/>
    </row>
    <row r="147" spans="2:18" s="94" customFormat="1" x14ac:dyDescent="0.25">
      <c r="B147" s="93"/>
      <c r="O147" s="95"/>
      <c r="P147" s="95"/>
      <c r="Q147" s="95"/>
      <c r="R147" s="95"/>
    </row>
    <row r="148" spans="2:18" s="94" customFormat="1" x14ac:dyDescent="0.25">
      <c r="B148" s="93"/>
      <c r="O148" s="95"/>
      <c r="P148" s="95"/>
      <c r="Q148" s="95"/>
      <c r="R148" s="95"/>
    </row>
    <row r="149" spans="2:18" s="94" customFormat="1" x14ac:dyDescent="0.25">
      <c r="B149" s="93"/>
      <c r="O149" s="95"/>
      <c r="P149" s="95"/>
      <c r="Q149" s="95"/>
      <c r="R149" s="95"/>
    </row>
    <row r="150" spans="2:18" s="94" customFormat="1" x14ac:dyDescent="0.25">
      <c r="B150" s="93"/>
      <c r="O150" s="95"/>
      <c r="P150" s="95"/>
      <c r="Q150" s="95"/>
      <c r="R150" s="95"/>
    </row>
    <row r="151" spans="2:18" s="94" customFormat="1" x14ac:dyDescent="0.25">
      <c r="B151" s="93"/>
      <c r="O151" s="95"/>
      <c r="P151" s="95"/>
      <c r="Q151" s="95"/>
      <c r="R151" s="95"/>
    </row>
    <row r="152" spans="2:18" s="94" customFormat="1" x14ac:dyDescent="0.25">
      <c r="B152" s="93"/>
      <c r="O152" s="95"/>
      <c r="P152" s="95"/>
      <c r="Q152" s="95"/>
      <c r="R152" s="95"/>
    </row>
    <row r="153" spans="2:18" s="94" customFormat="1" x14ac:dyDescent="0.25">
      <c r="B153" s="93"/>
      <c r="O153" s="95"/>
      <c r="P153" s="95"/>
      <c r="Q153" s="95"/>
      <c r="R153" s="95"/>
    </row>
    <row r="154" spans="2:18" s="94" customFormat="1" x14ac:dyDescent="0.25">
      <c r="B154" s="93"/>
      <c r="O154" s="95"/>
      <c r="P154" s="95"/>
      <c r="Q154" s="95"/>
      <c r="R154" s="95"/>
    </row>
    <row r="155" spans="2:18" s="94" customFormat="1" x14ac:dyDescent="0.25">
      <c r="B155" s="93"/>
      <c r="O155" s="95"/>
      <c r="P155" s="95"/>
      <c r="Q155" s="95"/>
      <c r="R155" s="95"/>
    </row>
    <row r="156" spans="2:18" s="94" customFormat="1" x14ac:dyDescent="0.25">
      <c r="B156" s="93"/>
      <c r="O156" s="95"/>
      <c r="P156" s="95"/>
      <c r="Q156" s="95"/>
      <c r="R156" s="95"/>
    </row>
    <row r="157" spans="2:18" s="94" customFormat="1" x14ac:dyDescent="0.25">
      <c r="B157" s="93"/>
      <c r="O157" s="95"/>
      <c r="P157" s="95"/>
      <c r="Q157" s="95"/>
      <c r="R157" s="95"/>
    </row>
    <row r="158" spans="2:18" s="94" customFormat="1" x14ac:dyDescent="0.25">
      <c r="B158" s="93"/>
      <c r="O158" s="95"/>
      <c r="P158" s="95"/>
      <c r="Q158" s="95"/>
      <c r="R158" s="95"/>
    </row>
    <row r="159" spans="2:18" s="94" customFormat="1" x14ac:dyDescent="0.25">
      <c r="B159" s="93"/>
      <c r="O159" s="95"/>
      <c r="P159" s="95"/>
      <c r="Q159" s="95"/>
      <c r="R159" s="95"/>
    </row>
    <row r="160" spans="2:18" s="94" customFormat="1" x14ac:dyDescent="0.25">
      <c r="B160" s="93"/>
      <c r="O160" s="95"/>
      <c r="P160" s="95"/>
      <c r="Q160" s="95"/>
      <c r="R160" s="95"/>
    </row>
    <row r="161" spans="2:18" s="94" customFormat="1" x14ac:dyDescent="0.25">
      <c r="B161" s="93"/>
      <c r="O161" s="95"/>
      <c r="P161" s="95"/>
      <c r="Q161" s="95"/>
      <c r="R161" s="95"/>
    </row>
    <row r="162" spans="2:18" s="94" customFormat="1" x14ac:dyDescent="0.25">
      <c r="B162" s="93"/>
      <c r="O162" s="95"/>
      <c r="P162" s="95"/>
      <c r="Q162" s="95"/>
      <c r="R162" s="95"/>
    </row>
    <row r="163" spans="2:18" s="94" customFormat="1" x14ac:dyDescent="0.25">
      <c r="B163" s="93"/>
      <c r="O163" s="95"/>
      <c r="P163" s="95"/>
      <c r="Q163" s="95"/>
      <c r="R163" s="95"/>
    </row>
    <row r="164" spans="2:18" s="94" customFormat="1" x14ac:dyDescent="0.25">
      <c r="B164" s="93"/>
      <c r="O164" s="95"/>
      <c r="P164" s="95"/>
      <c r="Q164" s="95"/>
      <c r="R164" s="95"/>
    </row>
    <row r="165" spans="2:18" s="94" customFormat="1" x14ac:dyDescent="0.25">
      <c r="B165" s="93"/>
      <c r="O165" s="95"/>
      <c r="P165" s="95"/>
      <c r="Q165" s="95"/>
      <c r="R165" s="95"/>
    </row>
    <row r="166" spans="2:18" s="94" customFormat="1" x14ac:dyDescent="0.25">
      <c r="B166" s="93"/>
      <c r="O166" s="95"/>
      <c r="P166" s="95"/>
      <c r="Q166" s="95"/>
      <c r="R166" s="95"/>
    </row>
    <row r="167" spans="2:18" s="94" customFormat="1" x14ac:dyDescent="0.25">
      <c r="B167" s="93"/>
      <c r="O167" s="95"/>
      <c r="P167" s="95"/>
      <c r="Q167" s="95"/>
      <c r="R167" s="95"/>
    </row>
    <row r="168" spans="2:18" s="94" customFormat="1" x14ac:dyDescent="0.25">
      <c r="B168" s="93"/>
      <c r="O168" s="95"/>
      <c r="P168" s="95"/>
      <c r="Q168" s="95"/>
      <c r="R168" s="95"/>
    </row>
    <row r="169" spans="2:18" s="94" customFormat="1" x14ac:dyDescent="0.25">
      <c r="B169" s="93"/>
      <c r="O169" s="95"/>
      <c r="P169" s="95"/>
      <c r="Q169" s="95"/>
      <c r="R169" s="95"/>
    </row>
    <row r="170" spans="2:18" s="94" customFormat="1" x14ac:dyDescent="0.25">
      <c r="B170" s="93"/>
      <c r="O170" s="95"/>
      <c r="P170" s="95"/>
      <c r="Q170" s="95"/>
      <c r="R170" s="95"/>
    </row>
    <row r="171" spans="2:18" s="94" customFormat="1" x14ac:dyDescent="0.25">
      <c r="B171" s="93"/>
      <c r="O171" s="95"/>
      <c r="P171" s="95"/>
      <c r="Q171" s="95"/>
      <c r="R171" s="95"/>
    </row>
    <row r="172" spans="2:18" s="94" customFormat="1" x14ac:dyDescent="0.25">
      <c r="B172" s="93"/>
      <c r="O172" s="95"/>
      <c r="P172" s="95"/>
      <c r="Q172" s="95"/>
      <c r="R172" s="95"/>
    </row>
    <row r="173" spans="2:18" s="94" customFormat="1" x14ac:dyDescent="0.25">
      <c r="B173" s="93"/>
      <c r="O173" s="95"/>
      <c r="P173" s="95"/>
      <c r="Q173" s="95"/>
      <c r="R173" s="95"/>
    </row>
    <row r="174" spans="2:18" s="94" customFormat="1" x14ac:dyDescent="0.25">
      <c r="B174" s="93"/>
      <c r="O174" s="95"/>
      <c r="P174" s="95"/>
      <c r="Q174" s="95"/>
      <c r="R174" s="95"/>
    </row>
    <row r="175" spans="2:18" s="94" customFormat="1" x14ac:dyDescent="0.25">
      <c r="B175" s="93"/>
      <c r="O175" s="95"/>
      <c r="P175" s="95"/>
      <c r="Q175" s="95"/>
      <c r="R175" s="95"/>
    </row>
    <row r="176" spans="2:18" s="94" customFormat="1" x14ac:dyDescent="0.25">
      <c r="B176" s="93"/>
      <c r="O176" s="95"/>
      <c r="P176" s="95"/>
      <c r="Q176" s="95"/>
      <c r="R176" s="95"/>
    </row>
    <row r="177" spans="2:18" s="94" customFormat="1" x14ac:dyDescent="0.25">
      <c r="B177" s="93"/>
      <c r="O177" s="95"/>
      <c r="P177" s="95"/>
      <c r="Q177" s="95"/>
      <c r="R177" s="95"/>
    </row>
    <row r="178" spans="2:18" s="94" customFormat="1" x14ac:dyDescent="0.25">
      <c r="B178" s="93"/>
      <c r="O178" s="95"/>
      <c r="P178" s="95"/>
      <c r="Q178" s="95"/>
      <c r="R178" s="95"/>
    </row>
    <row r="179" spans="2:18" s="94" customFormat="1" x14ac:dyDescent="0.25">
      <c r="B179" s="93"/>
      <c r="O179" s="95"/>
      <c r="P179" s="95"/>
      <c r="Q179" s="95"/>
      <c r="R179" s="95"/>
    </row>
    <row r="180" spans="2:18" s="94" customFormat="1" x14ac:dyDescent="0.25">
      <c r="B180" s="93"/>
      <c r="O180" s="95"/>
      <c r="P180" s="95"/>
      <c r="Q180" s="95"/>
      <c r="R180" s="95"/>
    </row>
    <row r="181" spans="2:18" s="94" customFormat="1" x14ac:dyDescent="0.25">
      <c r="B181" s="93"/>
      <c r="O181" s="95"/>
      <c r="P181" s="95"/>
      <c r="Q181" s="95"/>
      <c r="R181" s="95"/>
    </row>
    <row r="182" spans="2:18" s="94" customFormat="1" x14ac:dyDescent="0.25">
      <c r="B182" s="93"/>
      <c r="O182" s="95"/>
      <c r="P182" s="95"/>
      <c r="Q182" s="95"/>
      <c r="R182" s="95"/>
    </row>
    <row r="183" spans="2:18" s="94" customFormat="1" x14ac:dyDescent="0.25">
      <c r="B183" s="93"/>
      <c r="O183" s="95"/>
      <c r="P183" s="95"/>
      <c r="Q183" s="95"/>
      <c r="R183" s="95"/>
    </row>
    <row r="184" spans="2:18" s="94" customFormat="1" x14ac:dyDescent="0.25">
      <c r="B184" s="93"/>
      <c r="O184" s="95"/>
      <c r="P184" s="95"/>
      <c r="Q184" s="95"/>
      <c r="R184" s="95"/>
    </row>
    <row r="185" spans="2:18" s="94" customFormat="1" x14ac:dyDescent="0.25">
      <c r="B185" s="93"/>
      <c r="O185" s="95"/>
      <c r="P185" s="95"/>
      <c r="Q185" s="95"/>
      <c r="R185" s="95"/>
    </row>
    <row r="186" spans="2:18" s="94" customFormat="1" x14ac:dyDescent="0.25">
      <c r="B186" s="93"/>
      <c r="O186" s="95"/>
      <c r="P186" s="95"/>
      <c r="Q186" s="95"/>
      <c r="R186" s="95"/>
    </row>
    <row r="187" spans="2:18" s="94" customFormat="1" x14ac:dyDescent="0.25">
      <c r="B187" s="93"/>
      <c r="O187" s="95"/>
      <c r="P187" s="95"/>
      <c r="Q187" s="95"/>
      <c r="R187" s="95"/>
    </row>
    <row r="188" spans="2:18" s="94" customFormat="1" x14ac:dyDescent="0.25">
      <c r="B188" s="93"/>
      <c r="O188" s="95"/>
      <c r="P188" s="95"/>
      <c r="Q188" s="95"/>
      <c r="R188" s="95"/>
    </row>
    <row r="189" spans="2:18" s="94" customFormat="1" x14ac:dyDescent="0.25">
      <c r="B189" s="93"/>
      <c r="O189" s="95"/>
      <c r="P189" s="95"/>
      <c r="Q189" s="95"/>
      <c r="R189" s="95"/>
    </row>
    <row r="190" spans="2:18" s="94" customFormat="1" x14ac:dyDescent="0.25">
      <c r="B190" s="93"/>
      <c r="O190" s="95"/>
      <c r="P190" s="95"/>
      <c r="Q190" s="95"/>
      <c r="R190" s="95"/>
    </row>
    <row r="191" spans="2:18" s="94" customFormat="1" x14ac:dyDescent="0.25">
      <c r="B191" s="93"/>
      <c r="O191" s="95"/>
      <c r="P191" s="95"/>
      <c r="Q191" s="95"/>
      <c r="R191" s="95"/>
    </row>
    <row r="192" spans="2:18" s="94" customFormat="1" x14ac:dyDescent="0.25">
      <c r="B192" s="93"/>
      <c r="O192" s="95"/>
      <c r="P192" s="95"/>
      <c r="Q192" s="95"/>
      <c r="R192" s="95"/>
    </row>
    <row r="193" spans="2:18" s="94" customFormat="1" x14ac:dyDescent="0.25">
      <c r="B193" s="93"/>
      <c r="O193" s="95"/>
      <c r="P193" s="95"/>
      <c r="Q193" s="95"/>
      <c r="R193" s="95"/>
    </row>
    <row r="194" spans="2:18" s="94" customFormat="1" x14ac:dyDescent="0.25">
      <c r="B194" s="93"/>
      <c r="O194" s="95"/>
      <c r="P194" s="95"/>
      <c r="Q194" s="95"/>
      <c r="R194" s="95"/>
    </row>
    <row r="195" spans="2:18" s="94" customFormat="1" x14ac:dyDescent="0.25">
      <c r="B195" s="93"/>
      <c r="O195" s="95"/>
      <c r="P195" s="95"/>
      <c r="Q195" s="95"/>
      <c r="R195" s="95"/>
    </row>
    <row r="196" spans="2:18" s="94" customFormat="1" x14ac:dyDescent="0.25">
      <c r="B196" s="93"/>
      <c r="O196" s="95"/>
      <c r="P196" s="95"/>
      <c r="Q196" s="95"/>
      <c r="R196" s="95"/>
    </row>
    <row r="197" spans="2:18" s="94" customFormat="1" x14ac:dyDescent="0.25">
      <c r="B197" s="93"/>
      <c r="O197" s="95"/>
      <c r="P197" s="95"/>
      <c r="Q197" s="95"/>
      <c r="R197" s="95"/>
    </row>
    <row r="198" spans="2:18" s="94" customFormat="1" x14ac:dyDescent="0.25">
      <c r="B198" s="93"/>
      <c r="O198" s="95"/>
      <c r="P198" s="95"/>
      <c r="Q198" s="95"/>
      <c r="R198" s="95"/>
    </row>
    <row r="199" spans="2:18" s="94" customFormat="1" x14ac:dyDescent="0.25">
      <c r="B199" s="93"/>
      <c r="O199" s="95"/>
      <c r="P199" s="95"/>
      <c r="Q199" s="95"/>
      <c r="R199" s="95"/>
    </row>
    <row r="200" spans="2:18" s="94" customFormat="1" x14ac:dyDescent="0.25">
      <c r="B200" s="93"/>
      <c r="O200" s="95"/>
      <c r="P200" s="95"/>
      <c r="Q200" s="95"/>
      <c r="R200" s="95"/>
    </row>
    <row r="201" spans="2:18" s="94" customFormat="1" x14ac:dyDescent="0.25">
      <c r="B201" s="93"/>
      <c r="O201" s="95"/>
      <c r="P201" s="95"/>
      <c r="Q201" s="95"/>
      <c r="R201" s="95"/>
    </row>
    <row r="202" spans="2:18" s="94" customFormat="1" x14ac:dyDescent="0.25">
      <c r="B202" s="93"/>
      <c r="O202" s="95"/>
      <c r="P202" s="95"/>
      <c r="Q202" s="95"/>
      <c r="R202" s="95"/>
    </row>
    <row r="203" spans="2:18" s="94" customFormat="1" x14ac:dyDescent="0.25">
      <c r="B203" s="93"/>
      <c r="O203" s="95"/>
      <c r="P203" s="95"/>
      <c r="Q203" s="95"/>
      <c r="R203" s="95"/>
    </row>
    <row r="204" spans="2:18" s="94" customFormat="1" x14ac:dyDescent="0.25">
      <c r="B204" s="93"/>
      <c r="O204" s="95"/>
      <c r="P204" s="95"/>
      <c r="Q204" s="95"/>
      <c r="R204" s="95"/>
    </row>
    <row r="205" spans="2:18" s="94" customFormat="1" x14ac:dyDescent="0.25">
      <c r="B205" s="93"/>
      <c r="O205" s="95"/>
      <c r="P205" s="95"/>
      <c r="Q205" s="95"/>
      <c r="R205" s="95"/>
    </row>
    <row r="206" spans="2:18" s="94" customFormat="1" x14ac:dyDescent="0.25">
      <c r="B206" s="93"/>
      <c r="O206" s="95"/>
      <c r="P206" s="95"/>
      <c r="Q206" s="95"/>
      <c r="R206" s="95"/>
    </row>
    <row r="207" spans="2:18" s="94" customFormat="1" x14ac:dyDescent="0.25">
      <c r="B207" s="93"/>
      <c r="O207" s="95"/>
      <c r="P207" s="95"/>
      <c r="Q207" s="95"/>
      <c r="R207" s="95"/>
    </row>
    <row r="208" spans="2:18" s="94" customFormat="1" x14ac:dyDescent="0.25">
      <c r="B208" s="93"/>
      <c r="O208" s="95"/>
      <c r="P208" s="95"/>
      <c r="Q208" s="95"/>
      <c r="R208" s="95"/>
    </row>
    <row r="209" spans="2:18" s="94" customFormat="1" x14ac:dyDescent="0.25">
      <c r="B209" s="93"/>
      <c r="O209" s="95"/>
      <c r="P209" s="95"/>
      <c r="Q209" s="95"/>
      <c r="R209" s="95"/>
    </row>
    <row r="210" spans="2:18" s="94" customFormat="1" x14ac:dyDescent="0.25">
      <c r="B210" s="93"/>
      <c r="O210" s="95"/>
      <c r="P210" s="95"/>
      <c r="Q210" s="95"/>
      <c r="R210" s="95"/>
    </row>
    <row r="211" spans="2:18" s="94" customFormat="1" x14ac:dyDescent="0.25">
      <c r="B211" s="93"/>
      <c r="O211" s="95"/>
      <c r="P211" s="95"/>
      <c r="Q211" s="95"/>
      <c r="R211" s="95"/>
    </row>
    <row r="212" spans="2:18" s="94" customFormat="1" x14ac:dyDescent="0.25">
      <c r="B212" s="93"/>
      <c r="O212" s="95"/>
      <c r="P212" s="95"/>
      <c r="Q212" s="95"/>
      <c r="R212" s="95"/>
    </row>
    <row r="213" spans="2:18" s="94" customFormat="1" x14ac:dyDescent="0.25">
      <c r="B213" s="93"/>
      <c r="O213" s="95"/>
      <c r="P213" s="95"/>
      <c r="Q213" s="95"/>
      <c r="R213" s="95"/>
    </row>
    <row r="214" spans="2:18" s="94" customFormat="1" x14ac:dyDescent="0.25">
      <c r="B214" s="93"/>
      <c r="O214" s="95"/>
      <c r="P214" s="95"/>
      <c r="Q214" s="95"/>
      <c r="R214" s="95"/>
    </row>
    <row r="215" spans="2:18" s="94" customFormat="1" x14ac:dyDescent="0.25">
      <c r="B215" s="93"/>
      <c r="O215" s="95"/>
      <c r="P215" s="95"/>
      <c r="Q215" s="95"/>
      <c r="R215" s="95"/>
    </row>
    <row r="216" spans="2:18" s="94" customFormat="1" x14ac:dyDescent="0.25">
      <c r="B216" s="93"/>
      <c r="O216" s="95"/>
      <c r="P216" s="95"/>
      <c r="Q216" s="95"/>
      <c r="R216" s="95"/>
    </row>
    <row r="217" spans="2:18" s="94" customFormat="1" x14ac:dyDescent="0.25">
      <c r="B217" s="93"/>
      <c r="O217" s="95"/>
      <c r="P217" s="95"/>
      <c r="Q217" s="95"/>
      <c r="R217" s="95"/>
    </row>
    <row r="218" spans="2:18" s="94" customFormat="1" x14ac:dyDescent="0.25">
      <c r="B218" s="93"/>
      <c r="O218" s="95"/>
      <c r="P218" s="95"/>
      <c r="Q218" s="95"/>
      <c r="R218" s="95"/>
    </row>
    <row r="219" spans="2:18" s="94" customFormat="1" x14ac:dyDescent="0.25">
      <c r="B219" s="93"/>
      <c r="O219" s="95"/>
      <c r="P219" s="95"/>
      <c r="Q219" s="95"/>
      <c r="R219" s="95"/>
    </row>
    <row r="220" spans="2:18" s="94" customFormat="1" x14ac:dyDescent="0.25">
      <c r="B220" s="93"/>
      <c r="O220" s="95"/>
      <c r="P220" s="95"/>
      <c r="Q220" s="95"/>
      <c r="R220" s="95"/>
    </row>
    <row r="221" spans="2:18" s="94" customFormat="1" x14ac:dyDescent="0.25">
      <c r="B221" s="93"/>
      <c r="O221" s="95"/>
      <c r="P221" s="95"/>
      <c r="Q221" s="95"/>
      <c r="R221" s="95"/>
    </row>
    <row r="222" spans="2:18" s="94" customFormat="1" x14ac:dyDescent="0.25">
      <c r="B222" s="93"/>
      <c r="O222" s="95"/>
      <c r="P222" s="95"/>
      <c r="Q222" s="95"/>
      <c r="R222" s="95"/>
    </row>
    <row r="223" spans="2:18" s="94" customFormat="1" x14ac:dyDescent="0.25">
      <c r="B223" s="93"/>
      <c r="O223" s="95"/>
      <c r="P223" s="95"/>
      <c r="Q223" s="95"/>
      <c r="R223" s="95"/>
    </row>
    <row r="224" spans="2:18" s="94" customFormat="1" x14ac:dyDescent="0.25">
      <c r="B224" s="93"/>
      <c r="O224" s="95"/>
      <c r="P224" s="95"/>
      <c r="Q224" s="95"/>
      <c r="R224" s="95"/>
    </row>
    <row r="225" spans="2:18" s="94" customFormat="1" x14ac:dyDescent="0.25">
      <c r="B225" s="93"/>
      <c r="O225" s="95"/>
      <c r="P225" s="95"/>
      <c r="Q225" s="95"/>
      <c r="R225" s="95"/>
    </row>
    <row r="226" spans="2:18" s="94" customFormat="1" x14ac:dyDescent="0.25">
      <c r="B226" s="93"/>
      <c r="O226" s="95"/>
      <c r="P226" s="95"/>
      <c r="Q226" s="95"/>
      <c r="R226" s="95"/>
    </row>
    <row r="227" spans="2:18" s="94" customFormat="1" x14ac:dyDescent="0.25">
      <c r="B227" s="93"/>
      <c r="O227" s="95"/>
      <c r="P227" s="95"/>
      <c r="Q227" s="95"/>
      <c r="R227" s="95"/>
    </row>
    <row r="228" spans="2:18" s="94" customFormat="1" x14ac:dyDescent="0.25">
      <c r="B228" s="93"/>
      <c r="O228" s="95"/>
      <c r="P228" s="95"/>
      <c r="Q228" s="95"/>
      <c r="R228" s="95"/>
    </row>
    <row r="229" spans="2:18" s="94" customFormat="1" x14ac:dyDescent="0.25">
      <c r="B229" s="93"/>
      <c r="O229" s="95"/>
      <c r="P229" s="95"/>
      <c r="Q229" s="95"/>
      <c r="R229" s="95"/>
    </row>
    <row r="230" spans="2:18" s="94" customFormat="1" x14ac:dyDescent="0.25">
      <c r="B230" s="93"/>
      <c r="O230" s="95"/>
      <c r="P230" s="95"/>
      <c r="Q230" s="95"/>
      <c r="R230" s="95"/>
    </row>
    <row r="231" spans="2:18" s="94" customFormat="1" x14ac:dyDescent="0.25">
      <c r="B231" s="93"/>
      <c r="O231" s="95"/>
      <c r="P231" s="95"/>
      <c r="Q231" s="95"/>
      <c r="R231" s="95"/>
    </row>
    <row r="232" spans="2:18" s="94" customFormat="1" x14ac:dyDescent="0.25">
      <c r="B232" s="93"/>
      <c r="O232" s="95"/>
      <c r="P232" s="95"/>
      <c r="Q232" s="95"/>
      <c r="R232" s="95"/>
    </row>
    <row r="233" spans="2:18" s="94" customFormat="1" x14ac:dyDescent="0.25">
      <c r="B233" s="93"/>
      <c r="O233" s="95"/>
      <c r="P233" s="95"/>
      <c r="Q233" s="95"/>
      <c r="R233" s="95"/>
    </row>
    <row r="234" spans="2:18" s="94" customFormat="1" x14ac:dyDescent="0.25">
      <c r="B234" s="93"/>
      <c r="O234" s="95"/>
      <c r="P234" s="95"/>
      <c r="Q234" s="95"/>
      <c r="R234" s="95"/>
    </row>
    <row r="235" spans="2:18" s="94" customFormat="1" x14ac:dyDescent="0.25">
      <c r="B235" s="93"/>
      <c r="O235" s="95"/>
      <c r="P235" s="95"/>
      <c r="Q235" s="95"/>
      <c r="R235" s="95"/>
    </row>
    <row r="236" spans="2:18" s="94" customFormat="1" x14ac:dyDescent="0.25">
      <c r="B236" s="93"/>
      <c r="O236" s="95"/>
      <c r="P236" s="95"/>
      <c r="Q236" s="95"/>
      <c r="R236" s="95"/>
    </row>
    <row r="237" spans="2:18" s="94" customFormat="1" x14ac:dyDescent="0.25">
      <c r="B237" s="93"/>
      <c r="O237" s="95"/>
      <c r="P237" s="95"/>
      <c r="Q237" s="95"/>
      <c r="R237" s="95"/>
    </row>
    <row r="238" spans="2:18" s="94" customFormat="1" x14ac:dyDescent="0.25">
      <c r="B238" s="93"/>
      <c r="O238" s="95"/>
      <c r="P238" s="95"/>
      <c r="Q238" s="95"/>
      <c r="R238" s="95"/>
    </row>
    <row r="239" spans="2:18" s="94" customFormat="1" x14ac:dyDescent="0.25">
      <c r="B239" s="93"/>
      <c r="O239" s="95"/>
      <c r="P239" s="95"/>
      <c r="Q239" s="95"/>
      <c r="R239" s="95"/>
    </row>
    <row r="240" spans="2:18" s="94" customFormat="1" x14ac:dyDescent="0.25">
      <c r="B240" s="93"/>
      <c r="O240" s="95"/>
      <c r="P240" s="95"/>
      <c r="Q240" s="95"/>
      <c r="R240" s="95"/>
    </row>
    <row r="241" spans="2:18" s="94" customFormat="1" x14ac:dyDescent="0.25">
      <c r="B241" s="93"/>
      <c r="O241" s="95"/>
      <c r="P241" s="95"/>
      <c r="Q241" s="95"/>
      <c r="R241" s="95"/>
    </row>
    <row r="242" spans="2:18" s="94" customFormat="1" x14ac:dyDescent="0.25">
      <c r="B242" s="93"/>
      <c r="O242" s="95"/>
      <c r="P242" s="95"/>
      <c r="Q242" s="95"/>
      <c r="R242" s="95"/>
    </row>
    <row r="243" spans="2:18" s="94" customFormat="1" x14ac:dyDescent="0.25">
      <c r="B243" s="93"/>
      <c r="O243" s="95"/>
      <c r="P243" s="95"/>
      <c r="Q243" s="95"/>
      <c r="R243" s="95"/>
    </row>
    <row r="244" spans="2:18" s="94" customFormat="1" x14ac:dyDescent="0.25">
      <c r="B244" s="93"/>
      <c r="O244" s="95"/>
      <c r="P244" s="95"/>
      <c r="Q244" s="95"/>
      <c r="R244" s="95"/>
    </row>
    <row r="245" spans="2:18" s="94" customFormat="1" x14ac:dyDescent="0.25">
      <c r="B245" s="93"/>
      <c r="O245" s="95"/>
      <c r="P245" s="95"/>
      <c r="Q245" s="95"/>
      <c r="R245" s="95"/>
    </row>
    <row r="246" spans="2:18" s="94" customFormat="1" x14ac:dyDescent="0.25">
      <c r="B246" s="93"/>
      <c r="O246" s="95"/>
      <c r="P246" s="95"/>
      <c r="Q246" s="95"/>
      <c r="R246" s="95"/>
    </row>
    <row r="247" spans="2:18" s="94" customFormat="1" x14ac:dyDescent="0.25">
      <c r="B247" s="93"/>
      <c r="O247" s="95"/>
      <c r="P247" s="95"/>
      <c r="Q247" s="95"/>
      <c r="R247" s="95"/>
    </row>
    <row r="248" spans="2:18" s="94" customFormat="1" x14ac:dyDescent="0.25">
      <c r="B248" s="93"/>
      <c r="O248" s="95"/>
      <c r="P248" s="95"/>
      <c r="Q248" s="95"/>
      <c r="R248" s="95"/>
    </row>
    <row r="249" spans="2:18" s="94" customFormat="1" x14ac:dyDescent="0.25">
      <c r="B249" s="93"/>
      <c r="O249" s="95"/>
      <c r="P249" s="95"/>
      <c r="Q249" s="95"/>
      <c r="R249" s="95"/>
    </row>
    <row r="250" spans="2:18" s="94" customFormat="1" x14ac:dyDescent="0.25">
      <c r="B250" s="93"/>
      <c r="O250" s="95"/>
      <c r="P250" s="95"/>
      <c r="Q250" s="95"/>
      <c r="R250" s="95"/>
    </row>
    <row r="251" spans="2:18" s="94" customFormat="1" x14ac:dyDescent="0.25">
      <c r="B251" s="93"/>
      <c r="O251" s="95"/>
      <c r="P251" s="95"/>
      <c r="Q251" s="95"/>
      <c r="R251" s="95"/>
    </row>
    <row r="252" spans="2:18" s="94" customFormat="1" x14ac:dyDescent="0.25">
      <c r="B252" s="93"/>
      <c r="O252" s="95"/>
      <c r="P252" s="95"/>
      <c r="Q252" s="95"/>
      <c r="R252" s="95"/>
    </row>
    <row r="253" spans="2:18" s="94" customFormat="1" x14ac:dyDescent="0.25">
      <c r="B253" s="93"/>
      <c r="O253" s="95"/>
      <c r="P253" s="95"/>
      <c r="Q253" s="95"/>
      <c r="R253" s="95"/>
    </row>
    <row r="254" spans="2:18" s="94" customFormat="1" x14ac:dyDescent="0.25">
      <c r="B254" s="93"/>
      <c r="O254" s="95"/>
      <c r="P254" s="95"/>
      <c r="Q254" s="95"/>
      <c r="R254" s="95"/>
    </row>
    <row r="255" spans="2:18" s="94" customFormat="1" x14ac:dyDescent="0.25">
      <c r="B255" s="93"/>
      <c r="O255" s="95"/>
      <c r="P255" s="95"/>
      <c r="Q255" s="95"/>
      <c r="R255" s="95"/>
    </row>
    <row r="256" spans="2:18" s="94" customFormat="1" x14ac:dyDescent="0.25">
      <c r="B256" s="93"/>
      <c r="O256" s="95"/>
      <c r="P256" s="95"/>
      <c r="Q256" s="95"/>
      <c r="R256" s="95"/>
    </row>
    <row r="257" spans="2:18" s="94" customFormat="1" x14ac:dyDescent="0.25">
      <c r="B257" s="93"/>
      <c r="O257" s="95"/>
      <c r="P257" s="95"/>
      <c r="Q257" s="95"/>
      <c r="R257" s="95"/>
    </row>
    <row r="258" spans="2:18" s="94" customFormat="1" x14ac:dyDescent="0.25">
      <c r="B258" s="93"/>
      <c r="O258" s="95"/>
      <c r="P258" s="95"/>
      <c r="Q258" s="95"/>
      <c r="R258" s="95"/>
    </row>
    <row r="259" spans="2:18" s="94" customFormat="1" x14ac:dyDescent="0.25">
      <c r="B259" s="93"/>
      <c r="O259" s="95"/>
      <c r="P259" s="95"/>
      <c r="Q259" s="95"/>
      <c r="R259" s="95"/>
    </row>
    <row r="260" spans="2:18" s="94" customFormat="1" x14ac:dyDescent="0.25">
      <c r="B260" s="93"/>
      <c r="O260" s="95"/>
      <c r="P260" s="95"/>
      <c r="Q260" s="95"/>
      <c r="R260" s="95"/>
    </row>
    <row r="261" spans="2:18" s="94" customFormat="1" x14ac:dyDescent="0.25">
      <c r="B261" s="93"/>
      <c r="O261" s="95"/>
      <c r="P261" s="95"/>
      <c r="Q261" s="95"/>
      <c r="R261" s="95"/>
    </row>
    <row r="262" spans="2:18" s="94" customFormat="1" x14ac:dyDescent="0.25">
      <c r="B262" s="93"/>
      <c r="O262" s="95"/>
      <c r="P262" s="95"/>
      <c r="Q262" s="95"/>
      <c r="R262" s="95"/>
    </row>
    <row r="263" spans="2:18" s="94" customFormat="1" x14ac:dyDescent="0.25">
      <c r="B263" s="93"/>
      <c r="O263" s="95"/>
      <c r="P263" s="95"/>
      <c r="Q263" s="95"/>
      <c r="R263" s="95"/>
    </row>
    <row r="264" spans="2:18" s="94" customFormat="1" x14ac:dyDescent="0.25">
      <c r="B264" s="93"/>
      <c r="O264" s="95"/>
      <c r="P264" s="95"/>
      <c r="Q264" s="95"/>
      <c r="R264" s="95"/>
    </row>
    <row r="265" spans="2:18" s="94" customFormat="1" x14ac:dyDescent="0.25">
      <c r="B265" s="93"/>
      <c r="O265" s="95"/>
      <c r="P265" s="95"/>
      <c r="Q265" s="95"/>
      <c r="R265" s="95"/>
    </row>
    <row r="266" spans="2:18" s="94" customFormat="1" x14ac:dyDescent="0.25">
      <c r="B266" s="93"/>
      <c r="O266" s="95"/>
      <c r="P266" s="95"/>
      <c r="Q266" s="95"/>
      <c r="R266" s="95"/>
    </row>
    <row r="267" spans="2:18" s="94" customFormat="1" x14ac:dyDescent="0.25">
      <c r="B267" s="93"/>
      <c r="O267" s="95"/>
      <c r="P267" s="95"/>
      <c r="Q267" s="95"/>
      <c r="R267" s="95"/>
    </row>
    <row r="268" spans="2:18" s="94" customFormat="1" x14ac:dyDescent="0.25">
      <c r="B268" s="93"/>
      <c r="O268" s="95"/>
      <c r="P268" s="95"/>
      <c r="Q268" s="95"/>
      <c r="R268" s="95"/>
    </row>
    <row r="269" spans="2:18" s="94" customFormat="1" x14ac:dyDescent="0.25">
      <c r="B269" s="93"/>
      <c r="O269" s="95"/>
      <c r="P269" s="95"/>
      <c r="Q269" s="95"/>
      <c r="R269" s="95"/>
    </row>
    <row r="270" spans="2:18" s="94" customFormat="1" x14ac:dyDescent="0.25">
      <c r="B270" s="93"/>
      <c r="O270" s="95"/>
      <c r="P270" s="95"/>
      <c r="Q270" s="95"/>
      <c r="R270" s="95"/>
    </row>
    <row r="271" spans="2:18" s="94" customFormat="1" x14ac:dyDescent="0.25">
      <c r="B271" s="93"/>
      <c r="O271" s="95"/>
      <c r="P271" s="95"/>
      <c r="Q271" s="95"/>
      <c r="R271" s="95"/>
    </row>
    <row r="272" spans="2:18" s="94" customFormat="1" x14ac:dyDescent="0.25">
      <c r="B272" s="93"/>
      <c r="O272" s="95"/>
      <c r="P272" s="95"/>
      <c r="Q272" s="95"/>
      <c r="R272" s="95"/>
    </row>
    <row r="273" spans="2:18" s="94" customFormat="1" x14ac:dyDescent="0.25">
      <c r="B273" s="93"/>
      <c r="O273" s="95"/>
      <c r="P273" s="95"/>
      <c r="Q273" s="95"/>
      <c r="R273" s="95"/>
    </row>
    <row r="274" spans="2:18" s="94" customFormat="1" x14ac:dyDescent="0.25">
      <c r="B274" s="93"/>
      <c r="O274" s="95"/>
      <c r="P274" s="95"/>
      <c r="Q274" s="95"/>
      <c r="R274" s="95"/>
    </row>
    <row r="275" spans="2:18" s="94" customFormat="1" x14ac:dyDescent="0.25">
      <c r="B275" s="93"/>
      <c r="O275" s="95"/>
      <c r="P275" s="95"/>
      <c r="Q275" s="95"/>
      <c r="R275" s="95"/>
    </row>
    <row r="276" spans="2:18" s="94" customFormat="1" x14ac:dyDescent="0.25">
      <c r="B276" s="93"/>
      <c r="O276" s="95"/>
      <c r="P276" s="95"/>
      <c r="Q276" s="95"/>
      <c r="R276" s="95"/>
    </row>
    <row r="277" spans="2:18" s="94" customFormat="1" x14ac:dyDescent="0.25">
      <c r="B277" s="93"/>
      <c r="O277" s="95"/>
      <c r="P277" s="95"/>
      <c r="Q277" s="95"/>
      <c r="R277" s="95"/>
    </row>
    <row r="278" spans="2:18" s="94" customFormat="1" x14ac:dyDescent="0.25">
      <c r="B278" s="93"/>
      <c r="O278" s="95"/>
      <c r="P278" s="95"/>
      <c r="Q278" s="95"/>
      <c r="R278" s="95"/>
    </row>
    <row r="279" spans="2:18" s="94" customFormat="1" x14ac:dyDescent="0.25">
      <c r="B279" s="93"/>
      <c r="O279" s="95"/>
      <c r="P279" s="95"/>
      <c r="Q279" s="95"/>
      <c r="R279" s="95"/>
    </row>
    <row r="280" spans="2:18" s="94" customFormat="1" x14ac:dyDescent="0.25">
      <c r="B280" s="93"/>
      <c r="O280" s="95"/>
      <c r="P280" s="95"/>
      <c r="Q280" s="95"/>
      <c r="R280" s="95"/>
    </row>
    <row r="281" spans="2:18" s="94" customFormat="1" x14ac:dyDescent="0.25">
      <c r="B281" s="93"/>
      <c r="O281" s="95"/>
      <c r="P281" s="95"/>
      <c r="Q281" s="95"/>
      <c r="R281" s="95"/>
    </row>
    <row r="282" spans="2:18" s="94" customFormat="1" x14ac:dyDescent="0.25">
      <c r="B282" s="93"/>
      <c r="O282" s="95"/>
      <c r="P282" s="95"/>
      <c r="Q282" s="95"/>
      <c r="R282" s="95"/>
    </row>
    <row r="283" spans="2:18" s="94" customFormat="1" x14ac:dyDescent="0.25">
      <c r="B283" s="93"/>
      <c r="O283" s="95"/>
      <c r="P283" s="95"/>
      <c r="Q283" s="95"/>
      <c r="R283" s="95"/>
    </row>
    <row r="284" spans="2:18" s="94" customFormat="1" x14ac:dyDescent="0.25">
      <c r="B284" s="93"/>
      <c r="O284" s="95"/>
      <c r="P284" s="95"/>
      <c r="Q284" s="95"/>
      <c r="R284" s="95"/>
    </row>
    <row r="285" spans="2:18" s="94" customFormat="1" x14ac:dyDescent="0.25">
      <c r="B285" s="93"/>
      <c r="O285" s="95"/>
      <c r="P285" s="95"/>
      <c r="Q285" s="95"/>
      <c r="R285" s="95"/>
    </row>
    <row r="286" spans="2:18" s="94" customFormat="1" x14ac:dyDescent="0.25">
      <c r="B286" s="93"/>
      <c r="O286" s="95"/>
      <c r="P286" s="95"/>
      <c r="Q286" s="95"/>
      <c r="R286" s="95"/>
    </row>
    <row r="287" spans="2:18" s="94" customFormat="1" x14ac:dyDescent="0.25">
      <c r="B287" s="93"/>
      <c r="O287" s="95"/>
      <c r="P287" s="95"/>
      <c r="Q287" s="95"/>
      <c r="R287" s="95"/>
    </row>
    <row r="288" spans="2:18" s="94" customFormat="1" x14ac:dyDescent="0.25">
      <c r="B288" s="93"/>
      <c r="O288" s="95"/>
      <c r="P288" s="95"/>
      <c r="Q288" s="95"/>
      <c r="R288" s="95"/>
    </row>
    <row r="289" spans="2:18" s="94" customFormat="1" x14ac:dyDescent="0.25">
      <c r="B289" s="93"/>
      <c r="O289" s="95"/>
      <c r="P289" s="95"/>
      <c r="Q289" s="95"/>
      <c r="R289" s="95"/>
    </row>
    <row r="290" spans="2:18" s="94" customFormat="1" x14ac:dyDescent="0.25">
      <c r="B290" s="93"/>
      <c r="O290" s="95"/>
      <c r="P290" s="95"/>
      <c r="Q290" s="95"/>
      <c r="R290" s="95"/>
    </row>
    <row r="291" spans="2:18" s="94" customFormat="1" x14ac:dyDescent="0.25">
      <c r="B291" s="93"/>
      <c r="O291" s="95"/>
      <c r="P291" s="95"/>
      <c r="Q291" s="95"/>
      <c r="R291" s="95"/>
    </row>
    <row r="292" spans="2:18" s="94" customFormat="1" x14ac:dyDescent="0.25">
      <c r="B292" s="93"/>
      <c r="O292" s="95"/>
      <c r="P292" s="95"/>
      <c r="Q292" s="95"/>
      <c r="R292" s="95"/>
    </row>
    <row r="293" spans="2:18" s="94" customFormat="1" x14ac:dyDescent="0.25">
      <c r="B293" s="93"/>
      <c r="O293" s="95"/>
      <c r="P293" s="95"/>
      <c r="Q293" s="95"/>
      <c r="R293" s="95"/>
    </row>
    <row r="294" spans="2:18" s="94" customFormat="1" x14ac:dyDescent="0.25">
      <c r="B294" s="93"/>
      <c r="O294" s="95"/>
      <c r="P294" s="95"/>
      <c r="Q294" s="95"/>
      <c r="R294" s="95"/>
    </row>
    <row r="295" spans="2:18" s="94" customFormat="1" x14ac:dyDescent="0.25">
      <c r="B295" s="93"/>
      <c r="O295" s="95"/>
      <c r="P295" s="95"/>
      <c r="Q295" s="95"/>
      <c r="R295" s="95"/>
    </row>
    <row r="296" spans="2:18" s="94" customFormat="1" x14ac:dyDescent="0.25">
      <c r="B296" s="93"/>
      <c r="O296" s="95"/>
      <c r="P296" s="95"/>
      <c r="Q296" s="95"/>
      <c r="R296" s="95"/>
    </row>
    <row r="297" spans="2:18" s="94" customFormat="1" x14ac:dyDescent="0.25">
      <c r="B297" s="93"/>
      <c r="O297" s="95"/>
      <c r="P297" s="95"/>
      <c r="Q297" s="95"/>
      <c r="R297" s="95"/>
    </row>
    <row r="298" spans="2:18" s="94" customFormat="1" x14ac:dyDescent="0.25">
      <c r="B298" s="93"/>
      <c r="O298" s="95"/>
      <c r="P298" s="95"/>
      <c r="Q298" s="95"/>
      <c r="R298" s="95"/>
    </row>
    <row r="299" spans="2:18" s="94" customFormat="1" x14ac:dyDescent="0.25">
      <c r="B299" s="93"/>
      <c r="O299" s="95"/>
      <c r="P299" s="95"/>
      <c r="Q299" s="95"/>
      <c r="R299" s="95"/>
    </row>
    <row r="300" spans="2:18" s="94" customFormat="1" x14ac:dyDescent="0.25">
      <c r="B300" s="93"/>
      <c r="O300" s="95"/>
      <c r="P300" s="95"/>
      <c r="Q300" s="95"/>
      <c r="R300" s="95"/>
    </row>
    <row r="301" spans="2:18" s="94" customFormat="1" x14ac:dyDescent="0.25">
      <c r="B301" s="93"/>
      <c r="O301" s="95"/>
      <c r="P301" s="95"/>
      <c r="Q301" s="95"/>
      <c r="R301" s="95"/>
    </row>
    <row r="302" spans="2:18" s="94" customFormat="1" x14ac:dyDescent="0.25">
      <c r="B302" s="93"/>
      <c r="O302" s="95"/>
      <c r="P302" s="95"/>
      <c r="Q302" s="95"/>
      <c r="R302" s="95"/>
    </row>
    <row r="303" spans="2:18" s="94" customFormat="1" x14ac:dyDescent="0.25">
      <c r="B303" s="93"/>
      <c r="O303" s="95"/>
      <c r="P303" s="95"/>
      <c r="Q303" s="95"/>
      <c r="R303" s="95"/>
    </row>
    <row r="304" spans="2:18" s="94" customFormat="1" x14ac:dyDescent="0.25">
      <c r="B304" s="93"/>
      <c r="O304" s="95"/>
      <c r="P304" s="95"/>
      <c r="Q304" s="95"/>
      <c r="R304" s="95"/>
    </row>
    <row r="305" spans="2:18" s="94" customFormat="1" x14ac:dyDescent="0.25">
      <c r="B305" s="93"/>
      <c r="O305" s="95"/>
      <c r="P305" s="95"/>
      <c r="Q305" s="95"/>
      <c r="R305" s="95"/>
    </row>
    <row r="306" spans="2:18" s="94" customFormat="1" x14ac:dyDescent="0.25">
      <c r="B306" s="93"/>
      <c r="O306" s="95"/>
      <c r="P306" s="95"/>
      <c r="Q306" s="95"/>
      <c r="R306" s="95"/>
    </row>
    <row r="307" spans="2:18" s="94" customFormat="1" x14ac:dyDescent="0.25">
      <c r="B307" s="93"/>
      <c r="O307" s="95"/>
      <c r="P307" s="95"/>
      <c r="Q307" s="95"/>
      <c r="R307" s="95"/>
    </row>
    <row r="308" spans="2:18" s="94" customFormat="1" x14ac:dyDescent="0.25">
      <c r="B308" s="93"/>
      <c r="O308" s="95"/>
      <c r="P308" s="95"/>
      <c r="Q308" s="95"/>
      <c r="R308" s="95"/>
    </row>
    <row r="309" spans="2:18" s="94" customFormat="1" x14ac:dyDescent="0.25">
      <c r="B309" s="93"/>
      <c r="O309" s="95"/>
      <c r="P309" s="95"/>
      <c r="Q309" s="95"/>
      <c r="R309" s="95"/>
    </row>
    <row r="310" spans="2:18" s="94" customFormat="1" x14ac:dyDescent="0.25">
      <c r="B310" s="93"/>
      <c r="O310" s="95"/>
      <c r="P310" s="95"/>
      <c r="Q310" s="95"/>
      <c r="R310" s="95"/>
    </row>
    <row r="311" spans="2:18" s="94" customFormat="1" x14ac:dyDescent="0.25">
      <c r="B311" s="93"/>
      <c r="O311" s="95"/>
      <c r="P311" s="95"/>
      <c r="Q311" s="95"/>
      <c r="R311" s="95"/>
    </row>
    <row r="312" spans="2:18" s="94" customFormat="1" x14ac:dyDescent="0.25">
      <c r="B312" s="93"/>
      <c r="O312" s="95"/>
      <c r="P312" s="95"/>
      <c r="Q312" s="95"/>
      <c r="R312" s="95"/>
    </row>
    <row r="313" spans="2:18" s="94" customFormat="1" x14ac:dyDescent="0.25">
      <c r="B313" s="93"/>
      <c r="O313" s="95"/>
      <c r="P313" s="95"/>
      <c r="Q313" s="95"/>
      <c r="R313" s="95"/>
    </row>
    <row r="314" spans="2:18" s="94" customFormat="1" x14ac:dyDescent="0.25">
      <c r="B314" s="93"/>
      <c r="O314" s="95"/>
      <c r="P314" s="95"/>
      <c r="Q314" s="95"/>
      <c r="R314" s="95"/>
    </row>
    <row r="315" spans="2:18" s="94" customFormat="1" x14ac:dyDescent="0.25">
      <c r="B315" s="93"/>
      <c r="O315" s="95"/>
      <c r="P315" s="95"/>
      <c r="Q315" s="95"/>
      <c r="R315" s="95"/>
    </row>
    <row r="316" spans="2:18" s="94" customFormat="1" x14ac:dyDescent="0.25">
      <c r="B316" s="93"/>
      <c r="O316" s="95"/>
      <c r="P316" s="95"/>
      <c r="Q316" s="95"/>
      <c r="R316" s="95"/>
    </row>
    <row r="317" spans="2:18" s="94" customFormat="1" x14ac:dyDescent="0.25">
      <c r="B317" s="93"/>
      <c r="O317" s="95"/>
      <c r="P317" s="95"/>
      <c r="Q317" s="95"/>
      <c r="R317" s="95"/>
    </row>
    <row r="318" spans="2:18" s="94" customFormat="1" x14ac:dyDescent="0.25">
      <c r="B318" s="93"/>
      <c r="O318" s="95"/>
      <c r="P318" s="95"/>
      <c r="Q318" s="95"/>
      <c r="R318" s="95"/>
    </row>
    <row r="319" spans="2:18" s="94" customFormat="1" x14ac:dyDescent="0.25">
      <c r="B319" s="93"/>
      <c r="O319" s="95"/>
      <c r="P319" s="95"/>
      <c r="Q319" s="95"/>
      <c r="R319" s="95"/>
    </row>
    <row r="320" spans="2:18" s="94" customFormat="1" x14ac:dyDescent="0.25">
      <c r="B320" s="93"/>
      <c r="O320" s="95"/>
      <c r="P320" s="95"/>
      <c r="Q320" s="95"/>
      <c r="R320" s="95"/>
    </row>
    <row r="321" spans="2:18" s="94" customFormat="1" x14ac:dyDescent="0.25">
      <c r="B321" s="93"/>
      <c r="O321" s="95"/>
      <c r="P321" s="95"/>
      <c r="Q321" s="95"/>
      <c r="R321" s="95"/>
    </row>
    <row r="322" spans="2:18" s="94" customFormat="1" x14ac:dyDescent="0.25">
      <c r="B322" s="93"/>
      <c r="O322" s="95"/>
      <c r="P322" s="95"/>
      <c r="Q322" s="95"/>
      <c r="R322" s="95"/>
    </row>
    <row r="323" spans="2:18" s="94" customFormat="1" x14ac:dyDescent="0.25">
      <c r="B323" s="93"/>
      <c r="O323" s="95"/>
      <c r="P323" s="95"/>
      <c r="Q323" s="95"/>
      <c r="R323" s="95"/>
    </row>
    <row r="324" spans="2:18" s="94" customFormat="1" x14ac:dyDescent="0.25">
      <c r="B324" s="93"/>
      <c r="O324" s="95"/>
      <c r="P324" s="95"/>
      <c r="Q324" s="95"/>
      <c r="R324" s="95"/>
    </row>
    <row r="325" spans="2:18" s="94" customFormat="1" x14ac:dyDescent="0.25">
      <c r="B325" s="93"/>
      <c r="O325" s="95"/>
      <c r="P325" s="95"/>
      <c r="Q325" s="95"/>
      <c r="R325" s="95"/>
    </row>
    <row r="326" spans="2:18" s="94" customFormat="1" x14ac:dyDescent="0.25">
      <c r="B326" s="93"/>
      <c r="O326" s="95"/>
      <c r="P326" s="95"/>
      <c r="Q326" s="95"/>
      <c r="R326" s="95"/>
    </row>
    <row r="327" spans="2:18" s="94" customFormat="1" x14ac:dyDescent="0.25">
      <c r="B327" s="93"/>
      <c r="O327" s="95"/>
      <c r="P327" s="95"/>
      <c r="Q327" s="95"/>
      <c r="R327" s="95"/>
    </row>
    <row r="328" spans="2:18" s="94" customFormat="1" x14ac:dyDescent="0.25">
      <c r="B328" s="93"/>
      <c r="O328" s="95"/>
      <c r="P328" s="95"/>
      <c r="Q328" s="95"/>
      <c r="R328" s="95"/>
    </row>
    <row r="329" spans="2:18" s="94" customFormat="1" x14ac:dyDescent="0.25">
      <c r="B329" s="93"/>
      <c r="O329" s="95"/>
      <c r="P329" s="95"/>
      <c r="Q329" s="95"/>
      <c r="R329" s="95"/>
    </row>
    <row r="330" spans="2:18" s="94" customFormat="1" x14ac:dyDescent="0.25">
      <c r="B330" s="93"/>
      <c r="O330" s="95"/>
      <c r="P330" s="95"/>
      <c r="Q330" s="95"/>
      <c r="R330" s="95"/>
    </row>
    <row r="331" spans="2:18" s="94" customFormat="1" x14ac:dyDescent="0.25">
      <c r="B331" s="93"/>
      <c r="O331" s="95"/>
      <c r="P331" s="95"/>
      <c r="Q331" s="95"/>
      <c r="R331" s="95"/>
    </row>
    <row r="332" spans="2:18" s="94" customFormat="1" x14ac:dyDescent="0.25">
      <c r="B332" s="93"/>
      <c r="O332" s="95"/>
      <c r="P332" s="95"/>
      <c r="Q332" s="95"/>
      <c r="R332" s="95"/>
    </row>
    <row r="333" spans="2:18" s="94" customFormat="1" x14ac:dyDescent="0.25">
      <c r="B333" s="93"/>
      <c r="O333" s="95"/>
      <c r="P333" s="95"/>
      <c r="Q333" s="95"/>
      <c r="R333" s="95"/>
    </row>
    <row r="334" spans="2:18" s="94" customFormat="1" x14ac:dyDescent="0.25">
      <c r="B334" s="93"/>
      <c r="O334" s="95"/>
      <c r="P334" s="95"/>
      <c r="Q334" s="95"/>
      <c r="R334" s="95"/>
    </row>
    <row r="335" spans="2:18" s="94" customFormat="1" x14ac:dyDescent="0.25">
      <c r="B335" s="93"/>
      <c r="O335" s="95"/>
      <c r="P335" s="95"/>
      <c r="Q335" s="95"/>
      <c r="R335" s="95"/>
    </row>
    <row r="336" spans="2:18" s="94" customFormat="1" x14ac:dyDescent="0.25">
      <c r="B336" s="93"/>
      <c r="O336" s="95"/>
      <c r="P336" s="95"/>
      <c r="Q336" s="95"/>
      <c r="R336" s="95"/>
    </row>
    <row r="337" spans="2:18" s="94" customFormat="1" x14ac:dyDescent="0.25">
      <c r="B337" s="93"/>
      <c r="O337" s="95"/>
      <c r="P337" s="95"/>
      <c r="Q337" s="95"/>
      <c r="R337" s="95"/>
    </row>
    <row r="338" spans="2:18" s="94" customFormat="1" x14ac:dyDescent="0.25">
      <c r="B338" s="93"/>
      <c r="O338" s="95"/>
      <c r="P338" s="95"/>
      <c r="Q338" s="95"/>
      <c r="R338" s="95"/>
    </row>
    <row r="339" spans="2:18" s="94" customFormat="1" x14ac:dyDescent="0.25">
      <c r="B339" s="93"/>
      <c r="O339" s="95"/>
      <c r="P339" s="95"/>
      <c r="Q339" s="95"/>
      <c r="R339" s="95"/>
    </row>
    <row r="340" spans="2:18" s="94" customFormat="1" x14ac:dyDescent="0.25">
      <c r="B340" s="93"/>
      <c r="O340" s="95"/>
      <c r="P340" s="95"/>
      <c r="Q340" s="95"/>
      <c r="R340" s="95"/>
    </row>
    <row r="341" spans="2:18" s="94" customFormat="1" x14ac:dyDescent="0.25">
      <c r="B341" s="93"/>
      <c r="O341" s="95"/>
      <c r="P341" s="95"/>
      <c r="Q341" s="95"/>
      <c r="R341" s="95"/>
    </row>
    <row r="342" spans="2:18" s="94" customFormat="1" x14ac:dyDescent="0.25">
      <c r="B342" s="93"/>
      <c r="O342" s="95"/>
      <c r="P342" s="95"/>
      <c r="Q342" s="95"/>
      <c r="R342" s="95"/>
    </row>
    <row r="343" spans="2:18" s="94" customFormat="1" x14ac:dyDescent="0.25">
      <c r="B343" s="93"/>
      <c r="O343" s="95"/>
      <c r="P343" s="95"/>
      <c r="Q343" s="95"/>
      <c r="R343" s="95"/>
    </row>
    <row r="344" spans="2:18" s="94" customFormat="1" x14ac:dyDescent="0.25">
      <c r="B344" s="93"/>
      <c r="O344" s="95"/>
      <c r="P344" s="95"/>
      <c r="Q344" s="95"/>
      <c r="R344" s="95"/>
    </row>
    <row r="345" spans="2:18" s="94" customFormat="1" x14ac:dyDescent="0.25">
      <c r="B345" s="93"/>
      <c r="O345" s="95"/>
      <c r="P345" s="95"/>
      <c r="Q345" s="95"/>
      <c r="R345" s="95"/>
    </row>
    <row r="346" spans="2:18" s="94" customFormat="1" x14ac:dyDescent="0.25">
      <c r="B346" s="93"/>
      <c r="O346" s="95"/>
      <c r="P346" s="95"/>
      <c r="Q346" s="95"/>
      <c r="R346" s="95"/>
    </row>
    <row r="347" spans="2:18" s="94" customFormat="1" x14ac:dyDescent="0.25">
      <c r="B347" s="93"/>
      <c r="O347" s="95"/>
      <c r="P347" s="95"/>
      <c r="Q347" s="95"/>
      <c r="R347" s="95"/>
    </row>
    <row r="348" spans="2:18" s="94" customFormat="1" x14ac:dyDescent="0.25">
      <c r="B348" s="93"/>
      <c r="O348" s="95"/>
      <c r="P348" s="95"/>
      <c r="Q348" s="95"/>
      <c r="R348" s="95"/>
    </row>
    <row r="349" spans="2:18" s="94" customFormat="1" x14ac:dyDescent="0.25">
      <c r="B349" s="93"/>
      <c r="O349" s="95"/>
      <c r="P349" s="95"/>
      <c r="Q349" s="95"/>
      <c r="R349" s="95"/>
    </row>
    <row r="350" spans="2:18" s="94" customFormat="1" x14ac:dyDescent="0.25">
      <c r="B350" s="93"/>
      <c r="O350" s="95"/>
      <c r="P350" s="95"/>
      <c r="Q350" s="95"/>
      <c r="R350" s="95"/>
    </row>
    <row r="351" spans="2:18" s="94" customFormat="1" x14ac:dyDescent="0.25">
      <c r="B351" s="93"/>
      <c r="O351" s="95"/>
      <c r="P351" s="95"/>
      <c r="Q351" s="95"/>
      <c r="R351" s="95"/>
    </row>
    <row r="352" spans="2:18" s="94" customFormat="1" x14ac:dyDescent="0.25">
      <c r="B352" s="93"/>
      <c r="O352" s="95"/>
      <c r="P352" s="95"/>
      <c r="Q352" s="95"/>
      <c r="R352" s="95"/>
    </row>
    <row r="353" spans="2:18" s="94" customFormat="1" x14ac:dyDescent="0.25">
      <c r="B353" s="93"/>
      <c r="O353" s="95"/>
      <c r="P353" s="95"/>
      <c r="Q353" s="95"/>
      <c r="R353" s="95"/>
    </row>
    <row r="354" spans="2:18" s="94" customFormat="1" x14ac:dyDescent="0.25">
      <c r="B354" s="93"/>
      <c r="O354" s="95"/>
      <c r="P354" s="95"/>
      <c r="Q354" s="95"/>
      <c r="R354" s="95"/>
    </row>
    <row r="355" spans="2:18" s="94" customFormat="1" x14ac:dyDescent="0.25">
      <c r="B355" s="93"/>
      <c r="O355" s="95"/>
      <c r="P355" s="95"/>
      <c r="Q355" s="95"/>
      <c r="R355" s="95"/>
    </row>
    <row r="356" spans="2:18" s="94" customFormat="1" x14ac:dyDescent="0.25">
      <c r="B356" s="93"/>
      <c r="O356" s="95"/>
      <c r="P356" s="95"/>
      <c r="Q356" s="95"/>
      <c r="R356" s="95"/>
    </row>
    <row r="357" spans="2:18" s="94" customFormat="1" x14ac:dyDescent="0.25">
      <c r="B357" s="93"/>
      <c r="O357" s="95"/>
      <c r="P357" s="95"/>
      <c r="Q357" s="95"/>
      <c r="R357" s="95"/>
    </row>
    <row r="358" spans="2:18" s="94" customFormat="1" x14ac:dyDescent="0.25">
      <c r="B358" s="93"/>
      <c r="O358" s="95"/>
      <c r="P358" s="95"/>
      <c r="Q358" s="95"/>
      <c r="R358" s="95"/>
    </row>
    <row r="359" spans="2:18" s="94" customFormat="1" x14ac:dyDescent="0.25">
      <c r="B359" s="93"/>
      <c r="O359" s="95"/>
      <c r="P359" s="95"/>
      <c r="Q359" s="95"/>
      <c r="R359" s="95"/>
    </row>
    <row r="360" spans="2:18" s="94" customFormat="1" x14ac:dyDescent="0.25">
      <c r="B360" s="93"/>
      <c r="O360" s="95"/>
      <c r="P360" s="95"/>
      <c r="Q360" s="95"/>
      <c r="R360" s="95"/>
    </row>
    <row r="361" spans="2:18" s="94" customFormat="1" x14ac:dyDescent="0.25">
      <c r="B361" s="93"/>
      <c r="O361" s="95"/>
      <c r="P361" s="95"/>
      <c r="Q361" s="95"/>
      <c r="R361" s="95"/>
    </row>
    <row r="362" spans="2:18" s="94" customFormat="1" x14ac:dyDescent="0.25">
      <c r="B362" s="93"/>
      <c r="O362" s="95"/>
      <c r="P362" s="95"/>
      <c r="Q362" s="95"/>
      <c r="R362" s="95"/>
    </row>
    <row r="363" spans="2:18" s="94" customFormat="1" x14ac:dyDescent="0.25">
      <c r="B363" s="93"/>
      <c r="O363" s="95"/>
      <c r="P363" s="95"/>
      <c r="Q363" s="95"/>
      <c r="R363" s="95"/>
    </row>
    <row r="364" spans="2:18" s="94" customFormat="1" x14ac:dyDescent="0.25">
      <c r="B364" s="93"/>
      <c r="O364" s="95"/>
      <c r="P364" s="95"/>
      <c r="Q364" s="95"/>
      <c r="R364" s="95"/>
    </row>
    <row r="365" spans="2:18" s="94" customFormat="1" x14ac:dyDescent="0.25">
      <c r="B365" s="93"/>
      <c r="O365" s="95"/>
      <c r="P365" s="95"/>
      <c r="Q365" s="95"/>
      <c r="R365" s="95"/>
    </row>
    <row r="366" spans="2:18" s="94" customFormat="1" x14ac:dyDescent="0.25">
      <c r="B366" s="93"/>
      <c r="O366" s="95"/>
      <c r="P366" s="95"/>
      <c r="Q366" s="95"/>
      <c r="R366" s="95"/>
    </row>
    <row r="367" spans="2:18" s="94" customFormat="1" x14ac:dyDescent="0.25">
      <c r="B367" s="93"/>
      <c r="O367" s="95"/>
      <c r="P367" s="95"/>
      <c r="Q367" s="95"/>
      <c r="R367" s="95"/>
    </row>
    <row r="368" spans="2:18" s="94" customFormat="1" x14ac:dyDescent="0.25">
      <c r="B368" s="93"/>
      <c r="O368" s="95"/>
      <c r="P368" s="95"/>
      <c r="Q368" s="95"/>
      <c r="R368" s="95"/>
    </row>
    <row r="369" spans="2:18" s="94" customFormat="1" x14ac:dyDescent="0.25">
      <c r="B369" s="93"/>
      <c r="O369" s="95"/>
      <c r="P369" s="95"/>
      <c r="Q369" s="95"/>
      <c r="R369" s="95"/>
    </row>
    <row r="370" spans="2:18" s="94" customFormat="1" x14ac:dyDescent="0.25">
      <c r="B370" s="93"/>
      <c r="O370" s="95"/>
      <c r="P370" s="95"/>
      <c r="Q370" s="95"/>
      <c r="R370" s="95"/>
    </row>
    <row r="371" spans="2:18" s="94" customFormat="1" x14ac:dyDescent="0.25">
      <c r="B371" s="93"/>
      <c r="O371" s="95"/>
      <c r="P371" s="95"/>
      <c r="Q371" s="95"/>
      <c r="R371" s="95"/>
    </row>
    <row r="372" spans="2:18" s="94" customFormat="1" x14ac:dyDescent="0.25">
      <c r="B372" s="93"/>
      <c r="O372" s="95"/>
      <c r="P372" s="95"/>
      <c r="Q372" s="95"/>
      <c r="R372" s="95"/>
    </row>
    <row r="373" spans="2:18" s="94" customFormat="1" x14ac:dyDescent="0.25">
      <c r="B373" s="93"/>
      <c r="O373" s="95"/>
      <c r="P373" s="95"/>
      <c r="Q373" s="95"/>
      <c r="R373" s="95"/>
    </row>
    <row r="374" spans="2:18" s="94" customFormat="1" x14ac:dyDescent="0.25">
      <c r="B374" s="93"/>
      <c r="O374" s="95"/>
      <c r="P374" s="95"/>
      <c r="Q374" s="95"/>
      <c r="R374" s="95"/>
    </row>
    <row r="375" spans="2:18" s="94" customFormat="1" x14ac:dyDescent="0.25">
      <c r="B375" s="93"/>
      <c r="O375" s="95"/>
      <c r="P375" s="95"/>
      <c r="Q375" s="95"/>
      <c r="R375" s="95"/>
    </row>
    <row r="376" spans="2:18" s="94" customFormat="1" x14ac:dyDescent="0.25">
      <c r="B376" s="93"/>
      <c r="O376" s="95"/>
      <c r="P376" s="95"/>
      <c r="Q376" s="95"/>
      <c r="R376" s="95"/>
    </row>
    <row r="377" spans="2:18" s="94" customFormat="1" x14ac:dyDescent="0.25">
      <c r="B377" s="93"/>
      <c r="O377" s="95"/>
      <c r="P377" s="95"/>
      <c r="Q377" s="95"/>
      <c r="R377" s="95"/>
    </row>
    <row r="378" spans="2:18" s="94" customFormat="1" x14ac:dyDescent="0.25">
      <c r="B378" s="93"/>
      <c r="O378" s="95"/>
      <c r="P378" s="95"/>
      <c r="Q378" s="95"/>
      <c r="R378" s="95"/>
    </row>
    <row r="379" spans="2:18" s="94" customFormat="1" x14ac:dyDescent="0.25">
      <c r="B379" s="93"/>
      <c r="O379" s="95"/>
      <c r="P379" s="95"/>
      <c r="Q379" s="95"/>
      <c r="R379" s="95"/>
    </row>
  </sheetData>
  <autoFilter ref="A5:R17"/>
  <mergeCells count="6">
    <mergeCell ref="A1:B3"/>
    <mergeCell ref="C1:M2"/>
    <mergeCell ref="N1:Q1"/>
    <mergeCell ref="N2:Q2"/>
    <mergeCell ref="C3:M3"/>
    <mergeCell ref="N3:Q3"/>
  </mergeCells>
  <dataValidations count="3">
    <dataValidation type="list" allowBlank="1" showInputMessage="1" showErrorMessage="1" sqref="M65545:M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M131081:M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M196617:M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M262153:M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M327689:M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M393225:M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M458761:M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M524297:M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M589833:M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M655369:M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M720905:M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M786441:M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M851977:M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M917513:M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M983049:M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VSG8 VIK8 UYO8 UOS8 UEW8 TVA8 TLE8 TBI8 SRM8 SHQ8 RXU8 RNY8 REC8 QUG8 QKK8 QAO8 PQS8 PGW8 OXA8 ONE8 ODI8 NTM8 NJQ8 MZU8 MPY8 MGC8 LWG8 LMK8 LCO8 KSS8 KIW8 JZA8 JPE8 JFI8 IVM8 ILQ8 IBU8 HRY8 HIC8 GYG8 GOK8 GEO8 FUS8 FKW8 FBA8 ERE8 EHI8 DXM8 DNQ8 DDU8 CTY8 CKC8 CAG8 BQK8 BGO8 AWS8 AMW8 ADA8 TE8 JI8 M8 WVU8 WLY8 VSG11:VSG16 VIK11:VIK16 UYO11:UYO16 UOS11:UOS16 UEW11:UEW16 TVA11:TVA16 TLE11:TLE16 TBI11:TBI16 SRM11:SRM16 SHQ11:SHQ16 RXU11:RXU16 RNY11:RNY16 REC11:REC16 QUG11:QUG16 QKK11:QKK16 QAO11:QAO16 PQS11:PQS16 PGW11:PGW16 OXA11:OXA16 ONE11:ONE16 ODI11:ODI16 NTM11:NTM16 NJQ11:NJQ16 MZU11:MZU16 MPY11:MPY16 MGC11:MGC16 LWG11:LWG16 LMK11:LMK16 LCO11:LCO16 KSS11:KSS16 KIW11:KIW16 JZA11:JZA16 JPE11:JPE16 JFI11:JFI16 IVM11:IVM16 ILQ11:ILQ16 IBU11:IBU16 HRY11:HRY16 HIC11:HIC16 GYG11:GYG16 GOK11:GOK16 GEO11:GEO16 FUS11:FUS16 FKW11:FKW16 FBA11:FBA16 ERE11:ERE16 EHI11:EHI16 DXM11:DXM16 DNQ11:DNQ16 DDU11:DDU16 CTY11:CTY16 CKC11:CKC16 CAG11:CAG16 BQK11:BQK16 BGO11:BGO16 AWS11:AWS16 AMW11:AMW16 ADA11:ADA16 TE11:TE16 JI11:JI16 M11:M16 WVU11:WVU16 WLY11:WLY16 WCC8 WCC11:WCC16">
      <formula1>"SI,NO"</formula1>
    </dataValidation>
    <dataValidation type="list" allowBlank="1" showInputMessage="1" showErrorMessage="1" sqref="A65540:A65550 IW65540:IW65550 SS65540:SS65550 ACO65540:ACO65550 AMK65540:AMK65550 AWG65540:AWG65550 BGC65540:BGC65550 BPY65540:BPY65550 BZU65540:BZU65550 CJQ65540:CJQ65550 CTM65540:CTM65550 DDI65540:DDI65550 DNE65540:DNE65550 DXA65540:DXA65550 EGW65540:EGW65550 EQS65540:EQS65550 FAO65540:FAO65550 FKK65540:FKK65550 FUG65540:FUG65550 GEC65540:GEC65550 GNY65540:GNY65550 GXU65540:GXU65550 HHQ65540:HHQ65550 HRM65540:HRM65550 IBI65540:IBI65550 ILE65540:ILE65550 IVA65540:IVA65550 JEW65540:JEW65550 JOS65540:JOS65550 JYO65540:JYO65550 KIK65540:KIK65550 KSG65540:KSG65550 LCC65540:LCC65550 LLY65540:LLY65550 LVU65540:LVU65550 MFQ65540:MFQ65550 MPM65540:MPM65550 MZI65540:MZI65550 NJE65540:NJE65550 NTA65540:NTA65550 OCW65540:OCW65550 OMS65540:OMS65550 OWO65540:OWO65550 PGK65540:PGK65550 PQG65540:PQG65550 QAC65540:QAC65550 QJY65540:QJY65550 QTU65540:QTU65550 RDQ65540:RDQ65550 RNM65540:RNM65550 RXI65540:RXI65550 SHE65540:SHE65550 SRA65540:SRA65550 TAW65540:TAW65550 TKS65540:TKS65550 TUO65540:TUO65550 UEK65540:UEK65550 UOG65540:UOG65550 UYC65540:UYC65550 VHY65540:VHY65550 VRU65540:VRU65550 WBQ65540:WBQ65550 WLM65540:WLM65550 WVI65540:WVI65550 A131076:A131086 IW131076:IW131086 SS131076:SS131086 ACO131076:ACO131086 AMK131076:AMK131086 AWG131076:AWG131086 BGC131076:BGC131086 BPY131076:BPY131086 BZU131076:BZU131086 CJQ131076:CJQ131086 CTM131076:CTM131086 DDI131076:DDI131086 DNE131076:DNE131086 DXA131076:DXA131086 EGW131076:EGW131086 EQS131076:EQS131086 FAO131076:FAO131086 FKK131076:FKK131086 FUG131076:FUG131086 GEC131076:GEC131086 GNY131076:GNY131086 GXU131076:GXU131086 HHQ131076:HHQ131086 HRM131076:HRM131086 IBI131076:IBI131086 ILE131076:ILE131086 IVA131076:IVA131086 JEW131076:JEW131086 JOS131076:JOS131086 JYO131076:JYO131086 KIK131076:KIK131086 KSG131076:KSG131086 LCC131076:LCC131086 LLY131076:LLY131086 LVU131076:LVU131086 MFQ131076:MFQ131086 MPM131076:MPM131086 MZI131076:MZI131086 NJE131076:NJE131086 NTA131076:NTA131086 OCW131076:OCW131086 OMS131076:OMS131086 OWO131076:OWO131086 PGK131076:PGK131086 PQG131076:PQG131086 QAC131076:QAC131086 QJY131076:QJY131086 QTU131076:QTU131086 RDQ131076:RDQ131086 RNM131076:RNM131086 RXI131076:RXI131086 SHE131076:SHE131086 SRA131076:SRA131086 TAW131076:TAW131086 TKS131076:TKS131086 TUO131076:TUO131086 UEK131076:UEK131086 UOG131076:UOG131086 UYC131076:UYC131086 VHY131076:VHY131086 VRU131076:VRU131086 WBQ131076:WBQ131086 WLM131076:WLM131086 WVI131076:WVI131086 A196612:A196622 IW196612:IW196622 SS196612:SS196622 ACO196612:ACO196622 AMK196612:AMK196622 AWG196612:AWG196622 BGC196612:BGC196622 BPY196612:BPY196622 BZU196612:BZU196622 CJQ196612:CJQ196622 CTM196612:CTM196622 DDI196612:DDI196622 DNE196612:DNE196622 DXA196612:DXA196622 EGW196612:EGW196622 EQS196612:EQS196622 FAO196612:FAO196622 FKK196612:FKK196622 FUG196612:FUG196622 GEC196612:GEC196622 GNY196612:GNY196622 GXU196612:GXU196622 HHQ196612:HHQ196622 HRM196612:HRM196622 IBI196612:IBI196622 ILE196612:ILE196622 IVA196612:IVA196622 JEW196612:JEW196622 JOS196612:JOS196622 JYO196612:JYO196622 KIK196612:KIK196622 KSG196612:KSG196622 LCC196612:LCC196622 LLY196612:LLY196622 LVU196612:LVU196622 MFQ196612:MFQ196622 MPM196612:MPM196622 MZI196612:MZI196622 NJE196612:NJE196622 NTA196612:NTA196622 OCW196612:OCW196622 OMS196612:OMS196622 OWO196612:OWO196622 PGK196612:PGK196622 PQG196612:PQG196622 QAC196612:QAC196622 QJY196612:QJY196622 QTU196612:QTU196622 RDQ196612:RDQ196622 RNM196612:RNM196622 RXI196612:RXI196622 SHE196612:SHE196622 SRA196612:SRA196622 TAW196612:TAW196622 TKS196612:TKS196622 TUO196612:TUO196622 UEK196612:UEK196622 UOG196612:UOG196622 UYC196612:UYC196622 VHY196612:VHY196622 VRU196612:VRU196622 WBQ196612:WBQ196622 WLM196612:WLM196622 WVI196612:WVI196622 A262148:A262158 IW262148:IW262158 SS262148:SS262158 ACO262148:ACO262158 AMK262148:AMK262158 AWG262148:AWG262158 BGC262148:BGC262158 BPY262148:BPY262158 BZU262148:BZU262158 CJQ262148:CJQ262158 CTM262148:CTM262158 DDI262148:DDI262158 DNE262148:DNE262158 DXA262148:DXA262158 EGW262148:EGW262158 EQS262148:EQS262158 FAO262148:FAO262158 FKK262148:FKK262158 FUG262148:FUG262158 GEC262148:GEC262158 GNY262148:GNY262158 GXU262148:GXU262158 HHQ262148:HHQ262158 HRM262148:HRM262158 IBI262148:IBI262158 ILE262148:ILE262158 IVA262148:IVA262158 JEW262148:JEW262158 JOS262148:JOS262158 JYO262148:JYO262158 KIK262148:KIK262158 KSG262148:KSG262158 LCC262148:LCC262158 LLY262148:LLY262158 LVU262148:LVU262158 MFQ262148:MFQ262158 MPM262148:MPM262158 MZI262148:MZI262158 NJE262148:NJE262158 NTA262148:NTA262158 OCW262148:OCW262158 OMS262148:OMS262158 OWO262148:OWO262158 PGK262148:PGK262158 PQG262148:PQG262158 QAC262148:QAC262158 QJY262148:QJY262158 QTU262148:QTU262158 RDQ262148:RDQ262158 RNM262148:RNM262158 RXI262148:RXI262158 SHE262148:SHE262158 SRA262148:SRA262158 TAW262148:TAW262158 TKS262148:TKS262158 TUO262148:TUO262158 UEK262148:UEK262158 UOG262148:UOG262158 UYC262148:UYC262158 VHY262148:VHY262158 VRU262148:VRU262158 WBQ262148:WBQ262158 WLM262148:WLM262158 WVI262148:WVI262158 A327684:A327694 IW327684:IW327694 SS327684:SS327694 ACO327684:ACO327694 AMK327684:AMK327694 AWG327684:AWG327694 BGC327684:BGC327694 BPY327684:BPY327694 BZU327684:BZU327694 CJQ327684:CJQ327694 CTM327684:CTM327694 DDI327684:DDI327694 DNE327684:DNE327694 DXA327684:DXA327694 EGW327684:EGW327694 EQS327684:EQS327694 FAO327684:FAO327694 FKK327684:FKK327694 FUG327684:FUG327694 GEC327684:GEC327694 GNY327684:GNY327694 GXU327684:GXU327694 HHQ327684:HHQ327694 HRM327684:HRM327694 IBI327684:IBI327694 ILE327684:ILE327694 IVA327684:IVA327694 JEW327684:JEW327694 JOS327684:JOS327694 JYO327684:JYO327694 KIK327684:KIK327694 KSG327684:KSG327694 LCC327684:LCC327694 LLY327684:LLY327694 LVU327684:LVU327694 MFQ327684:MFQ327694 MPM327684:MPM327694 MZI327684:MZI327694 NJE327684:NJE327694 NTA327684:NTA327694 OCW327684:OCW327694 OMS327684:OMS327694 OWO327684:OWO327694 PGK327684:PGK327694 PQG327684:PQG327694 QAC327684:QAC327694 QJY327684:QJY327694 QTU327684:QTU327694 RDQ327684:RDQ327694 RNM327684:RNM327694 RXI327684:RXI327694 SHE327684:SHE327694 SRA327684:SRA327694 TAW327684:TAW327694 TKS327684:TKS327694 TUO327684:TUO327694 UEK327684:UEK327694 UOG327684:UOG327694 UYC327684:UYC327694 VHY327684:VHY327694 VRU327684:VRU327694 WBQ327684:WBQ327694 WLM327684:WLM327694 WVI327684:WVI327694 A393220:A393230 IW393220:IW393230 SS393220:SS393230 ACO393220:ACO393230 AMK393220:AMK393230 AWG393220:AWG393230 BGC393220:BGC393230 BPY393220:BPY393230 BZU393220:BZU393230 CJQ393220:CJQ393230 CTM393220:CTM393230 DDI393220:DDI393230 DNE393220:DNE393230 DXA393220:DXA393230 EGW393220:EGW393230 EQS393220:EQS393230 FAO393220:FAO393230 FKK393220:FKK393230 FUG393220:FUG393230 GEC393220:GEC393230 GNY393220:GNY393230 GXU393220:GXU393230 HHQ393220:HHQ393230 HRM393220:HRM393230 IBI393220:IBI393230 ILE393220:ILE393230 IVA393220:IVA393230 JEW393220:JEW393230 JOS393220:JOS393230 JYO393220:JYO393230 KIK393220:KIK393230 KSG393220:KSG393230 LCC393220:LCC393230 LLY393220:LLY393230 LVU393220:LVU393230 MFQ393220:MFQ393230 MPM393220:MPM393230 MZI393220:MZI393230 NJE393220:NJE393230 NTA393220:NTA393230 OCW393220:OCW393230 OMS393220:OMS393230 OWO393220:OWO393230 PGK393220:PGK393230 PQG393220:PQG393230 QAC393220:QAC393230 QJY393220:QJY393230 QTU393220:QTU393230 RDQ393220:RDQ393230 RNM393220:RNM393230 RXI393220:RXI393230 SHE393220:SHE393230 SRA393220:SRA393230 TAW393220:TAW393230 TKS393220:TKS393230 TUO393220:TUO393230 UEK393220:UEK393230 UOG393220:UOG393230 UYC393220:UYC393230 VHY393220:VHY393230 VRU393220:VRU393230 WBQ393220:WBQ393230 WLM393220:WLM393230 WVI393220:WVI393230 A458756:A458766 IW458756:IW458766 SS458756:SS458766 ACO458756:ACO458766 AMK458756:AMK458766 AWG458756:AWG458766 BGC458756:BGC458766 BPY458756:BPY458766 BZU458756:BZU458766 CJQ458756:CJQ458766 CTM458756:CTM458766 DDI458756:DDI458766 DNE458756:DNE458766 DXA458756:DXA458766 EGW458756:EGW458766 EQS458756:EQS458766 FAO458756:FAO458766 FKK458756:FKK458766 FUG458756:FUG458766 GEC458756:GEC458766 GNY458756:GNY458766 GXU458756:GXU458766 HHQ458756:HHQ458766 HRM458756:HRM458766 IBI458756:IBI458766 ILE458756:ILE458766 IVA458756:IVA458766 JEW458756:JEW458766 JOS458756:JOS458766 JYO458756:JYO458766 KIK458756:KIK458766 KSG458756:KSG458766 LCC458756:LCC458766 LLY458756:LLY458766 LVU458756:LVU458766 MFQ458756:MFQ458766 MPM458756:MPM458766 MZI458756:MZI458766 NJE458756:NJE458766 NTA458756:NTA458766 OCW458756:OCW458766 OMS458756:OMS458766 OWO458756:OWO458766 PGK458756:PGK458766 PQG458756:PQG458766 QAC458756:QAC458766 QJY458756:QJY458766 QTU458756:QTU458766 RDQ458756:RDQ458766 RNM458756:RNM458766 RXI458756:RXI458766 SHE458756:SHE458766 SRA458756:SRA458766 TAW458756:TAW458766 TKS458756:TKS458766 TUO458756:TUO458766 UEK458756:UEK458766 UOG458756:UOG458766 UYC458756:UYC458766 VHY458756:VHY458766 VRU458756:VRU458766 WBQ458756:WBQ458766 WLM458756:WLM458766 WVI458756:WVI458766 A524292:A524302 IW524292:IW524302 SS524292:SS524302 ACO524292:ACO524302 AMK524292:AMK524302 AWG524292:AWG524302 BGC524292:BGC524302 BPY524292:BPY524302 BZU524292:BZU524302 CJQ524292:CJQ524302 CTM524292:CTM524302 DDI524292:DDI524302 DNE524292:DNE524302 DXA524292:DXA524302 EGW524292:EGW524302 EQS524292:EQS524302 FAO524292:FAO524302 FKK524292:FKK524302 FUG524292:FUG524302 GEC524292:GEC524302 GNY524292:GNY524302 GXU524292:GXU524302 HHQ524292:HHQ524302 HRM524292:HRM524302 IBI524292:IBI524302 ILE524292:ILE524302 IVA524292:IVA524302 JEW524292:JEW524302 JOS524292:JOS524302 JYO524292:JYO524302 KIK524292:KIK524302 KSG524292:KSG524302 LCC524292:LCC524302 LLY524292:LLY524302 LVU524292:LVU524302 MFQ524292:MFQ524302 MPM524292:MPM524302 MZI524292:MZI524302 NJE524292:NJE524302 NTA524292:NTA524302 OCW524292:OCW524302 OMS524292:OMS524302 OWO524292:OWO524302 PGK524292:PGK524302 PQG524292:PQG524302 QAC524292:QAC524302 QJY524292:QJY524302 QTU524292:QTU524302 RDQ524292:RDQ524302 RNM524292:RNM524302 RXI524292:RXI524302 SHE524292:SHE524302 SRA524292:SRA524302 TAW524292:TAW524302 TKS524292:TKS524302 TUO524292:TUO524302 UEK524292:UEK524302 UOG524292:UOG524302 UYC524292:UYC524302 VHY524292:VHY524302 VRU524292:VRU524302 WBQ524292:WBQ524302 WLM524292:WLM524302 WVI524292:WVI524302 A589828:A589838 IW589828:IW589838 SS589828:SS589838 ACO589828:ACO589838 AMK589828:AMK589838 AWG589828:AWG589838 BGC589828:BGC589838 BPY589828:BPY589838 BZU589828:BZU589838 CJQ589828:CJQ589838 CTM589828:CTM589838 DDI589828:DDI589838 DNE589828:DNE589838 DXA589828:DXA589838 EGW589828:EGW589838 EQS589828:EQS589838 FAO589828:FAO589838 FKK589828:FKK589838 FUG589828:FUG589838 GEC589828:GEC589838 GNY589828:GNY589838 GXU589828:GXU589838 HHQ589828:HHQ589838 HRM589828:HRM589838 IBI589828:IBI589838 ILE589828:ILE589838 IVA589828:IVA589838 JEW589828:JEW589838 JOS589828:JOS589838 JYO589828:JYO589838 KIK589828:KIK589838 KSG589828:KSG589838 LCC589828:LCC589838 LLY589828:LLY589838 LVU589828:LVU589838 MFQ589828:MFQ589838 MPM589828:MPM589838 MZI589828:MZI589838 NJE589828:NJE589838 NTA589828:NTA589838 OCW589828:OCW589838 OMS589828:OMS589838 OWO589828:OWO589838 PGK589828:PGK589838 PQG589828:PQG589838 QAC589828:QAC589838 QJY589828:QJY589838 QTU589828:QTU589838 RDQ589828:RDQ589838 RNM589828:RNM589838 RXI589828:RXI589838 SHE589828:SHE589838 SRA589828:SRA589838 TAW589828:TAW589838 TKS589828:TKS589838 TUO589828:TUO589838 UEK589828:UEK589838 UOG589828:UOG589838 UYC589828:UYC589838 VHY589828:VHY589838 VRU589828:VRU589838 WBQ589828:WBQ589838 WLM589828:WLM589838 WVI589828:WVI589838 A655364:A655374 IW655364:IW655374 SS655364:SS655374 ACO655364:ACO655374 AMK655364:AMK655374 AWG655364:AWG655374 BGC655364:BGC655374 BPY655364:BPY655374 BZU655364:BZU655374 CJQ655364:CJQ655374 CTM655364:CTM655374 DDI655364:DDI655374 DNE655364:DNE655374 DXA655364:DXA655374 EGW655364:EGW655374 EQS655364:EQS655374 FAO655364:FAO655374 FKK655364:FKK655374 FUG655364:FUG655374 GEC655364:GEC655374 GNY655364:GNY655374 GXU655364:GXU655374 HHQ655364:HHQ655374 HRM655364:HRM655374 IBI655364:IBI655374 ILE655364:ILE655374 IVA655364:IVA655374 JEW655364:JEW655374 JOS655364:JOS655374 JYO655364:JYO655374 KIK655364:KIK655374 KSG655364:KSG655374 LCC655364:LCC655374 LLY655364:LLY655374 LVU655364:LVU655374 MFQ655364:MFQ655374 MPM655364:MPM655374 MZI655364:MZI655374 NJE655364:NJE655374 NTA655364:NTA655374 OCW655364:OCW655374 OMS655364:OMS655374 OWO655364:OWO655374 PGK655364:PGK655374 PQG655364:PQG655374 QAC655364:QAC655374 QJY655364:QJY655374 QTU655364:QTU655374 RDQ655364:RDQ655374 RNM655364:RNM655374 RXI655364:RXI655374 SHE655364:SHE655374 SRA655364:SRA655374 TAW655364:TAW655374 TKS655364:TKS655374 TUO655364:TUO655374 UEK655364:UEK655374 UOG655364:UOG655374 UYC655364:UYC655374 VHY655364:VHY655374 VRU655364:VRU655374 WBQ655364:WBQ655374 WLM655364:WLM655374 WVI655364:WVI655374 A720900:A720910 IW720900:IW720910 SS720900:SS720910 ACO720900:ACO720910 AMK720900:AMK720910 AWG720900:AWG720910 BGC720900:BGC720910 BPY720900:BPY720910 BZU720900:BZU720910 CJQ720900:CJQ720910 CTM720900:CTM720910 DDI720900:DDI720910 DNE720900:DNE720910 DXA720900:DXA720910 EGW720900:EGW720910 EQS720900:EQS720910 FAO720900:FAO720910 FKK720900:FKK720910 FUG720900:FUG720910 GEC720900:GEC720910 GNY720900:GNY720910 GXU720900:GXU720910 HHQ720900:HHQ720910 HRM720900:HRM720910 IBI720900:IBI720910 ILE720900:ILE720910 IVA720900:IVA720910 JEW720900:JEW720910 JOS720900:JOS720910 JYO720900:JYO720910 KIK720900:KIK720910 KSG720900:KSG720910 LCC720900:LCC720910 LLY720900:LLY720910 LVU720900:LVU720910 MFQ720900:MFQ720910 MPM720900:MPM720910 MZI720900:MZI720910 NJE720900:NJE720910 NTA720900:NTA720910 OCW720900:OCW720910 OMS720900:OMS720910 OWO720900:OWO720910 PGK720900:PGK720910 PQG720900:PQG720910 QAC720900:QAC720910 QJY720900:QJY720910 QTU720900:QTU720910 RDQ720900:RDQ720910 RNM720900:RNM720910 RXI720900:RXI720910 SHE720900:SHE720910 SRA720900:SRA720910 TAW720900:TAW720910 TKS720900:TKS720910 TUO720900:TUO720910 UEK720900:UEK720910 UOG720900:UOG720910 UYC720900:UYC720910 VHY720900:VHY720910 VRU720900:VRU720910 WBQ720900:WBQ720910 WLM720900:WLM720910 WVI720900:WVI720910 A786436:A786446 IW786436:IW786446 SS786436:SS786446 ACO786436:ACO786446 AMK786436:AMK786446 AWG786436:AWG786446 BGC786436:BGC786446 BPY786436:BPY786446 BZU786436:BZU786446 CJQ786436:CJQ786446 CTM786436:CTM786446 DDI786436:DDI786446 DNE786436:DNE786446 DXA786436:DXA786446 EGW786436:EGW786446 EQS786436:EQS786446 FAO786436:FAO786446 FKK786436:FKK786446 FUG786436:FUG786446 GEC786436:GEC786446 GNY786436:GNY786446 GXU786436:GXU786446 HHQ786436:HHQ786446 HRM786436:HRM786446 IBI786436:IBI786446 ILE786436:ILE786446 IVA786436:IVA786446 JEW786436:JEW786446 JOS786436:JOS786446 JYO786436:JYO786446 KIK786436:KIK786446 KSG786436:KSG786446 LCC786436:LCC786446 LLY786436:LLY786446 LVU786436:LVU786446 MFQ786436:MFQ786446 MPM786436:MPM786446 MZI786436:MZI786446 NJE786436:NJE786446 NTA786436:NTA786446 OCW786436:OCW786446 OMS786436:OMS786446 OWO786436:OWO786446 PGK786436:PGK786446 PQG786436:PQG786446 QAC786436:QAC786446 QJY786436:QJY786446 QTU786436:QTU786446 RDQ786436:RDQ786446 RNM786436:RNM786446 RXI786436:RXI786446 SHE786436:SHE786446 SRA786436:SRA786446 TAW786436:TAW786446 TKS786436:TKS786446 TUO786436:TUO786446 UEK786436:UEK786446 UOG786436:UOG786446 UYC786436:UYC786446 VHY786436:VHY786446 VRU786436:VRU786446 WBQ786436:WBQ786446 WLM786436:WLM786446 WVI786436:WVI786446 A851972:A851982 IW851972:IW851982 SS851972:SS851982 ACO851972:ACO851982 AMK851972:AMK851982 AWG851972:AWG851982 BGC851972:BGC851982 BPY851972:BPY851982 BZU851972:BZU851982 CJQ851972:CJQ851982 CTM851972:CTM851982 DDI851972:DDI851982 DNE851972:DNE851982 DXA851972:DXA851982 EGW851972:EGW851982 EQS851972:EQS851982 FAO851972:FAO851982 FKK851972:FKK851982 FUG851972:FUG851982 GEC851972:GEC851982 GNY851972:GNY851982 GXU851972:GXU851982 HHQ851972:HHQ851982 HRM851972:HRM851982 IBI851972:IBI851982 ILE851972:ILE851982 IVA851972:IVA851982 JEW851972:JEW851982 JOS851972:JOS851982 JYO851972:JYO851982 KIK851972:KIK851982 KSG851972:KSG851982 LCC851972:LCC851982 LLY851972:LLY851982 LVU851972:LVU851982 MFQ851972:MFQ851982 MPM851972:MPM851982 MZI851972:MZI851982 NJE851972:NJE851982 NTA851972:NTA851982 OCW851972:OCW851982 OMS851972:OMS851982 OWO851972:OWO851982 PGK851972:PGK851982 PQG851972:PQG851982 QAC851972:QAC851982 QJY851972:QJY851982 QTU851972:QTU851982 RDQ851972:RDQ851982 RNM851972:RNM851982 RXI851972:RXI851982 SHE851972:SHE851982 SRA851972:SRA851982 TAW851972:TAW851982 TKS851972:TKS851982 TUO851972:TUO851982 UEK851972:UEK851982 UOG851972:UOG851982 UYC851972:UYC851982 VHY851972:VHY851982 VRU851972:VRU851982 WBQ851972:WBQ851982 WLM851972:WLM851982 WVI851972:WVI851982 A917508:A917518 IW917508:IW917518 SS917508:SS917518 ACO917508:ACO917518 AMK917508:AMK917518 AWG917508:AWG917518 BGC917508:BGC917518 BPY917508:BPY917518 BZU917508:BZU917518 CJQ917508:CJQ917518 CTM917508:CTM917518 DDI917508:DDI917518 DNE917508:DNE917518 DXA917508:DXA917518 EGW917508:EGW917518 EQS917508:EQS917518 FAO917508:FAO917518 FKK917508:FKK917518 FUG917508:FUG917518 GEC917508:GEC917518 GNY917508:GNY917518 GXU917508:GXU917518 HHQ917508:HHQ917518 HRM917508:HRM917518 IBI917508:IBI917518 ILE917508:ILE917518 IVA917508:IVA917518 JEW917508:JEW917518 JOS917508:JOS917518 JYO917508:JYO917518 KIK917508:KIK917518 KSG917508:KSG917518 LCC917508:LCC917518 LLY917508:LLY917518 LVU917508:LVU917518 MFQ917508:MFQ917518 MPM917508:MPM917518 MZI917508:MZI917518 NJE917508:NJE917518 NTA917508:NTA917518 OCW917508:OCW917518 OMS917508:OMS917518 OWO917508:OWO917518 PGK917508:PGK917518 PQG917508:PQG917518 QAC917508:QAC917518 QJY917508:QJY917518 QTU917508:QTU917518 RDQ917508:RDQ917518 RNM917508:RNM917518 RXI917508:RXI917518 SHE917508:SHE917518 SRA917508:SRA917518 TAW917508:TAW917518 TKS917508:TKS917518 TUO917508:TUO917518 UEK917508:UEK917518 UOG917508:UOG917518 UYC917508:UYC917518 VHY917508:VHY917518 VRU917508:VRU917518 WBQ917508:WBQ917518 WLM917508:WLM917518 WVI917508:WVI917518 A983044:A983054 IW983044:IW983054 SS983044:SS983054 ACO983044:ACO983054 AMK983044:AMK983054 AWG983044:AWG983054 BGC983044:BGC983054 BPY983044:BPY983054 BZU983044:BZU983054 CJQ983044:CJQ983054 CTM983044:CTM983054 DDI983044:DDI983054 DNE983044:DNE983054 DXA983044:DXA983054 EGW983044:EGW983054 EQS983044:EQS983054 FAO983044:FAO983054 FKK983044:FKK983054 FUG983044:FUG983054 GEC983044:GEC983054 GNY983044:GNY983054 GXU983044:GXU983054 HHQ983044:HHQ983054 HRM983044:HRM983054 IBI983044:IBI983054 ILE983044:ILE983054 IVA983044:IVA983054 JEW983044:JEW983054 JOS983044:JOS983054 JYO983044:JYO983054 KIK983044:KIK983054 KSG983044:KSG983054 LCC983044:LCC983054 LLY983044:LLY983054 LVU983044:LVU983054 MFQ983044:MFQ983054 MPM983044:MPM983054 MZI983044:MZI983054 NJE983044:NJE983054 NTA983044:NTA983054 OCW983044:OCW983054 OMS983044:OMS983054 OWO983044:OWO983054 PGK983044:PGK983054 PQG983044:PQG983054 QAC983044:QAC983054 QJY983044:QJY983054 QTU983044:QTU983054 RDQ983044:RDQ983054 RNM983044:RNM983054 RXI983044:RXI983054 SHE983044:SHE983054 SRA983044:SRA983054 TAW983044:TAW983054 TKS983044:TKS983054 TUO983044:TUO983054 UEK983044:UEK983054 UOG983044:UOG983054 UYC983044:UYC983054 VHY983044:VHY983054 VRU983044:VRU983054 WBQ983044:WBQ983054 WLM983044:WLM983054 WVI983044:WVI983054 WLM6:WLM17 WVI6:WVI17 A6:A17 IW6:IW17 SS6:SS17 ACO6:ACO17 AMK6:AMK17 AWG6:AWG17 BGC6:BGC17 BPY6:BPY17 BZU6:BZU17 CJQ6:CJQ17 CTM6:CTM17 DDI6:DDI17 DNE6:DNE17 DXA6:DXA17 EGW6:EGW17 EQS6:EQS17 FAO6:FAO17 FKK6:FKK17 FUG6:FUG17 GEC6:GEC17 GNY6:GNY17 GXU6:GXU17 HHQ6:HHQ17 HRM6:HRM17 IBI6:IBI17 ILE6:ILE17 IVA6:IVA17 JEW6:JEW17 JOS6:JOS17 JYO6:JYO17 KIK6:KIK17 KSG6:KSG17 LCC6:LCC17 LLY6:LLY17 LVU6:LVU17 MFQ6:MFQ17 MPM6:MPM17 MZI6:MZI17 NJE6:NJE17 NTA6:NTA17 OCW6:OCW17 OMS6:OMS17 OWO6:OWO17 PGK6:PGK17 PQG6:PQG17 QAC6:QAC17 QJY6:QJY17 QTU6:QTU17 RDQ6:RDQ17 RNM6:RNM17 RXI6:RXI17 SHE6:SHE17 SRA6:SRA17 TAW6:TAW17 TKS6:TKS17 TUO6:TUO17 UEK6:UEK17 UOG6:UOG17 UYC6:UYC17 VHY6:VHY17 VRU6:VRU17 WBQ6:WBQ17">
      <formula1>PROYECTO</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WLN6:WLN17 WVJ6:WVJ17 B6:B17 IX6:IX17 ST6:ST17 ACP6:ACP17 AML6:AML17 AWH6:AWH17 BGD6:BGD17 BPZ6:BPZ17 BZV6:BZV17 CJR6:CJR17 CTN6:CTN17 DDJ6:DDJ17 DNF6:DNF17 DXB6:DXB17 EGX6:EGX17 EQT6:EQT17 FAP6:FAP17 FKL6:FKL17 FUH6:FUH17 GED6:GED17 GNZ6:GNZ17 GXV6:GXV17 HHR6:HHR17 HRN6:HRN17 IBJ6:IBJ17 ILF6:ILF17 IVB6:IVB17 JEX6:JEX17 JOT6:JOT17 JYP6:JYP17 KIL6:KIL17 KSH6:KSH17 LCD6:LCD17 LLZ6:LLZ17 LVV6:LVV17 MFR6:MFR17 MPN6:MPN17 MZJ6:MZJ17 NJF6:NJF17 NTB6:NTB17 OCX6:OCX17 OMT6:OMT17 OWP6:OWP17 PGL6:PGL17 PQH6:PQH17 QAD6:QAD17 QJZ6:QJZ17 QTV6:QTV17 RDR6:RDR17 RNN6:RNN17 RXJ6:RXJ17 SHF6:SHF17 SRB6:SRB17 TAX6:TAX17 TKT6:TKT17 TUP6:TUP17 UEL6:UEL17 UOH6:UOH17 UYD6:UYD17 VHZ6:VHZ17 VRV6:VRV17 WBR6:WBR17">
      <formula1>META</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9"/>
  <sheetViews>
    <sheetView topLeftCell="M1" workbookViewId="0">
      <selection activeCell="Z16" sqref="Z16"/>
    </sheetView>
  </sheetViews>
  <sheetFormatPr baseColWidth="10" defaultRowHeight="15" x14ac:dyDescent="0.25"/>
  <cols>
    <col min="1" max="1" width="24.42578125" customWidth="1"/>
    <col min="2" max="2" width="32.28515625" style="96" customWidth="1"/>
    <col min="3" max="3" width="52.7109375" customWidth="1"/>
    <col min="4" max="4" width="20.5703125" customWidth="1"/>
    <col min="5" max="5" width="29.140625" customWidth="1"/>
    <col min="6" max="6" width="34.28515625" customWidth="1"/>
    <col min="7" max="7" width="18.7109375" customWidth="1"/>
    <col min="8" max="10" width="19.7109375" customWidth="1"/>
    <col min="11" max="12" width="20.5703125" customWidth="1"/>
    <col min="13" max="14" width="22" customWidth="1"/>
    <col min="15" max="15" width="16.5703125" style="80" customWidth="1"/>
    <col min="16" max="16" width="18.7109375" style="80" customWidth="1"/>
    <col min="17" max="17" width="17" style="80" customWidth="1"/>
    <col min="18" max="18" width="16.7109375" style="80" customWidth="1"/>
    <col min="257" max="257" width="24.42578125" customWidth="1"/>
    <col min="258" max="258" width="32.28515625" customWidth="1"/>
    <col min="259" max="260" width="20.5703125" customWidth="1"/>
    <col min="261" max="261" width="29.140625" customWidth="1"/>
    <col min="262" max="262" width="20.7109375" customWidth="1"/>
    <col min="263" max="263" width="18.7109375" customWidth="1"/>
    <col min="264" max="266" width="19.7109375" customWidth="1"/>
    <col min="267" max="268" width="20.5703125" customWidth="1"/>
    <col min="269" max="270" width="22" customWidth="1"/>
    <col min="271" max="271" width="16.5703125" customWidth="1"/>
    <col min="272" max="272" width="18.7109375" customWidth="1"/>
    <col min="273" max="273" width="17" customWidth="1"/>
    <col min="274" max="274" width="18.7109375" customWidth="1"/>
    <col min="513" max="513" width="24.42578125" customWidth="1"/>
    <col min="514" max="514" width="32.28515625" customWidth="1"/>
    <col min="515" max="516" width="20.5703125" customWidth="1"/>
    <col min="517" max="517" width="29.140625" customWidth="1"/>
    <col min="518" max="518" width="20.7109375" customWidth="1"/>
    <col min="519" max="519" width="18.7109375" customWidth="1"/>
    <col min="520" max="522" width="19.7109375" customWidth="1"/>
    <col min="523" max="524" width="20.5703125" customWidth="1"/>
    <col min="525" max="526" width="22" customWidth="1"/>
    <col min="527" max="527" width="16.5703125" customWidth="1"/>
    <col min="528" max="528" width="18.7109375" customWidth="1"/>
    <col min="529" max="529" width="17" customWidth="1"/>
    <col min="530" max="530" width="18.7109375" customWidth="1"/>
    <col min="769" max="769" width="24.42578125" customWidth="1"/>
    <col min="770" max="770" width="32.28515625" customWidth="1"/>
    <col min="771" max="772" width="20.5703125" customWidth="1"/>
    <col min="773" max="773" width="29.140625" customWidth="1"/>
    <col min="774" max="774" width="20.7109375" customWidth="1"/>
    <col min="775" max="775" width="18.7109375" customWidth="1"/>
    <col min="776" max="778" width="19.7109375" customWidth="1"/>
    <col min="779" max="780" width="20.5703125" customWidth="1"/>
    <col min="781" max="782" width="22" customWidth="1"/>
    <col min="783" max="783" width="16.5703125" customWidth="1"/>
    <col min="784" max="784" width="18.7109375" customWidth="1"/>
    <col min="785" max="785" width="17" customWidth="1"/>
    <col min="786" max="786" width="18.7109375" customWidth="1"/>
    <col min="1025" max="1025" width="24.42578125" customWidth="1"/>
    <col min="1026" max="1026" width="32.28515625" customWidth="1"/>
    <col min="1027" max="1028" width="20.5703125" customWidth="1"/>
    <col min="1029" max="1029" width="29.140625" customWidth="1"/>
    <col min="1030" max="1030" width="20.7109375" customWidth="1"/>
    <col min="1031" max="1031" width="18.7109375" customWidth="1"/>
    <col min="1032" max="1034" width="19.7109375" customWidth="1"/>
    <col min="1035" max="1036" width="20.5703125" customWidth="1"/>
    <col min="1037" max="1038" width="22" customWidth="1"/>
    <col min="1039" max="1039" width="16.5703125" customWidth="1"/>
    <col min="1040" max="1040" width="18.7109375" customWidth="1"/>
    <col min="1041" max="1041" width="17" customWidth="1"/>
    <col min="1042" max="1042" width="18.7109375" customWidth="1"/>
    <col min="1281" max="1281" width="24.42578125" customWidth="1"/>
    <col min="1282" max="1282" width="32.28515625" customWidth="1"/>
    <col min="1283" max="1284" width="20.5703125" customWidth="1"/>
    <col min="1285" max="1285" width="29.140625" customWidth="1"/>
    <col min="1286" max="1286" width="20.7109375" customWidth="1"/>
    <col min="1287" max="1287" width="18.7109375" customWidth="1"/>
    <col min="1288" max="1290" width="19.7109375" customWidth="1"/>
    <col min="1291" max="1292" width="20.5703125" customWidth="1"/>
    <col min="1293" max="1294" width="22" customWidth="1"/>
    <col min="1295" max="1295" width="16.5703125" customWidth="1"/>
    <col min="1296" max="1296" width="18.7109375" customWidth="1"/>
    <col min="1297" max="1297" width="17" customWidth="1"/>
    <col min="1298" max="1298" width="18.7109375" customWidth="1"/>
    <col min="1537" max="1537" width="24.42578125" customWidth="1"/>
    <col min="1538" max="1538" width="32.28515625" customWidth="1"/>
    <col min="1539" max="1540" width="20.5703125" customWidth="1"/>
    <col min="1541" max="1541" width="29.140625" customWidth="1"/>
    <col min="1542" max="1542" width="20.7109375" customWidth="1"/>
    <col min="1543" max="1543" width="18.7109375" customWidth="1"/>
    <col min="1544" max="1546" width="19.7109375" customWidth="1"/>
    <col min="1547" max="1548" width="20.5703125" customWidth="1"/>
    <col min="1549" max="1550" width="22" customWidth="1"/>
    <col min="1551" max="1551" width="16.5703125" customWidth="1"/>
    <col min="1552" max="1552" width="18.7109375" customWidth="1"/>
    <col min="1553" max="1553" width="17" customWidth="1"/>
    <col min="1554" max="1554" width="18.7109375" customWidth="1"/>
    <col min="1793" max="1793" width="24.42578125" customWidth="1"/>
    <col min="1794" max="1794" width="32.28515625" customWidth="1"/>
    <col min="1795" max="1796" width="20.5703125" customWidth="1"/>
    <col min="1797" max="1797" width="29.140625" customWidth="1"/>
    <col min="1798" max="1798" width="20.7109375" customWidth="1"/>
    <col min="1799" max="1799" width="18.7109375" customWidth="1"/>
    <col min="1800" max="1802" width="19.7109375" customWidth="1"/>
    <col min="1803" max="1804" width="20.5703125" customWidth="1"/>
    <col min="1805" max="1806" width="22" customWidth="1"/>
    <col min="1807" max="1807" width="16.5703125" customWidth="1"/>
    <col min="1808" max="1808" width="18.7109375" customWidth="1"/>
    <col min="1809" max="1809" width="17" customWidth="1"/>
    <col min="1810" max="1810" width="18.7109375" customWidth="1"/>
    <col min="2049" max="2049" width="24.42578125" customWidth="1"/>
    <col min="2050" max="2050" width="32.28515625" customWidth="1"/>
    <col min="2051" max="2052" width="20.5703125" customWidth="1"/>
    <col min="2053" max="2053" width="29.140625" customWidth="1"/>
    <col min="2054" max="2054" width="20.7109375" customWidth="1"/>
    <col min="2055" max="2055" width="18.7109375" customWidth="1"/>
    <col min="2056" max="2058" width="19.7109375" customWidth="1"/>
    <col min="2059" max="2060" width="20.5703125" customWidth="1"/>
    <col min="2061" max="2062" width="22" customWidth="1"/>
    <col min="2063" max="2063" width="16.5703125" customWidth="1"/>
    <col min="2064" max="2064" width="18.7109375" customWidth="1"/>
    <col min="2065" max="2065" width="17" customWidth="1"/>
    <col min="2066" max="2066" width="18.7109375" customWidth="1"/>
    <col min="2305" max="2305" width="24.42578125" customWidth="1"/>
    <col min="2306" max="2306" width="32.28515625" customWidth="1"/>
    <col min="2307" max="2308" width="20.5703125" customWidth="1"/>
    <col min="2309" max="2309" width="29.140625" customWidth="1"/>
    <col min="2310" max="2310" width="20.7109375" customWidth="1"/>
    <col min="2311" max="2311" width="18.7109375" customWidth="1"/>
    <col min="2312" max="2314" width="19.7109375" customWidth="1"/>
    <col min="2315" max="2316" width="20.5703125" customWidth="1"/>
    <col min="2317" max="2318" width="22" customWidth="1"/>
    <col min="2319" max="2319" width="16.5703125" customWidth="1"/>
    <col min="2320" max="2320" width="18.7109375" customWidth="1"/>
    <col min="2321" max="2321" width="17" customWidth="1"/>
    <col min="2322" max="2322" width="18.7109375" customWidth="1"/>
    <col min="2561" max="2561" width="24.42578125" customWidth="1"/>
    <col min="2562" max="2562" width="32.28515625" customWidth="1"/>
    <col min="2563" max="2564" width="20.5703125" customWidth="1"/>
    <col min="2565" max="2565" width="29.140625" customWidth="1"/>
    <col min="2566" max="2566" width="20.7109375" customWidth="1"/>
    <col min="2567" max="2567" width="18.7109375" customWidth="1"/>
    <col min="2568" max="2570" width="19.7109375" customWidth="1"/>
    <col min="2571" max="2572" width="20.5703125" customWidth="1"/>
    <col min="2573" max="2574" width="22" customWidth="1"/>
    <col min="2575" max="2575" width="16.5703125" customWidth="1"/>
    <col min="2576" max="2576" width="18.7109375" customWidth="1"/>
    <col min="2577" max="2577" width="17" customWidth="1"/>
    <col min="2578" max="2578" width="18.7109375" customWidth="1"/>
    <col min="2817" max="2817" width="24.42578125" customWidth="1"/>
    <col min="2818" max="2818" width="32.28515625" customWidth="1"/>
    <col min="2819" max="2820" width="20.5703125" customWidth="1"/>
    <col min="2821" max="2821" width="29.140625" customWidth="1"/>
    <col min="2822" max="2822" width="20.7109375" customWidth="1"/>
    <col min="2823" max="2823" width="18.7109375" customWidth="1"/>
    <col min="2824" max="2826" width="19.7109375" customWidth="1"/>
    <col min="2827" max="2828" width="20.5703125" customWidth="1"/>
    <col min="2829" max="2830" width="22" customWidth="1"/>
    <col min="2831" max="2831" width="16.5703125" customWidth="1"/>
    <col min="2832" max="2832" width="18.7109375" customWidth="1"/>
    <col min="2833" max="2833" width="17" customWidth="1"/>
    <col min="2834" max="2834" width="18.7109375" customWidth="1"/>
    <col min="3073" max="3073" width="24.42578125" customWidth="1"/>
    <col min="3074" max="3074" width="32.28515625" customWidth="1"/>
    <col min="3075" max="3076" width="20.5703125" customWidth="1"/>
    <col min="3077" max="3077" width="29.140625" customWidth="1"/>
    <col min="3078" max="3078" width="20.7109375" customWidth="1"/>
    <col min="3079" max="3079" width="18.7109375" customWidth="1"/>
    <col min="3080" max="3082" width="19.7109375" customWidth="1"/>
    <col min="3083" max="3084" width="20.5703125" customWidth="1"/>
    <col min="3085" max="3086" width="22" customWidth="1"/>
    <col min="3087" max="3087" width="16.5703125" customWidth="1"/>
    <col min="3088" max="3088" width="18.7109375" customWidth="1"/>
    <col min="3089" max="3089" width="17" customWidth="1"/>
    <col min="3090" max="3090" width="18.7109375" customWidth="1"/>
    <col min="3329" max="3329" width="24.42578125" customWidth="1"/>
    <col min="3330" max="3330" width="32.28515625" customWidth="1"/>
    <col min="3331" max="3332" width="20.5703125" customWidth="1"/>
    <col min="3333" max="3333" width="29.140625" customWidth="1"/>
    <col min="3334" max="3334" width="20.7109375" customWidth="1"/>
    <col min="3335" max="3335" width="18.7109375" customWidth="1"/>
    <col min="3336" max="3338" width="19.7109375" customWidth="1"/>
    <col min="3339" max="3340" width="20.5703125" customWidth="1"/>
    <col min="3341" max="3342" width="22" customWidth="1"/>
    <col min="3343" max="3343" width="16.5703125" customWidth="1"/>
    <col min="3344" max="3344" width="18.7109375" customWidth="1"/>
    <col min="3345" max="3345" width="17" customWidth="1"/>
    <col min="3346" max="3346" width="18.7109375" customWidth="1"/>
    <col min="3585" max="3585" width="24.42578125" customWidth="1"/>
    <col min="3586" max="3586" width="32.28515625" customWidth="1"/>
    <col min="3587" max="3588" width="20.5703125" customWidth="1"/>
    <col min="3589" max="3589" width="29.140625" customWidth="1"/>
    <col min="3590" max="3590" width="20.7109375" customWidth="1"/>
    <col min="3591" max="3591" width="18.7109375" customWidth="1"/>
    <col min="3592" max="3594" width="19.7109375" customWidth="1"/>
    <col min="3595" max="3596" width="20.5703125" customWidth="1"/>
    <col min="3597" max="3598" width="22" customWidth="1"/>
    <col min="3599" max="3599" width="16.5703125" customWidth="1"/>
    <col min="3600" max="3600" width="18.7109375" customWidth="1"/>
    <col min="3601" max="3601" width="17" customWidth="1"/>
    <col min="3602" max="3602" width="18.7109375" customWidth="1"/>
    <col min="3841" max="3841" width="24.42578125" customWidth="1"/>
    <col min="3842" max="3842" width="32.28515625" customWidth="1"/>
    <col min="3843" max="3844" width="20.5703125" customWidth="1"/>
    <col min="3845" max="3845" width="29.140625" customWidth="1"/>
    <col min="3846" max="3846" width="20.7109375" customWidth="1"/>
    <col min="3847" max="3847" width="18.7109375" customWidth="1"/>
    <col min="3848" max="3850" width="19.7109375" customWidth="1"/>
    <col min="3851" max="3852" width="20.5703125" customWidth="1"/>
    <col min="3853" max="3854" width="22" customWidth="1"/>
    <col min="3855" max="3855" width="16.5703125" customWidth="1"/>
    <col min="3856" max="3856" width="18.7109375" customWidth="1"/>
    <col min="3857" max="3857" width="17" customWidth="1"/>
    <col min="3858" max="3858" width="18.7109375" customWidth="1"/>
    <col min="4097" max="4097" width="24.42578125" customWidth="1"/>
    <col min="4098" max="4098" width="32.28515625" customWidth="1"/>
    <col min="4099" max="4100" width="20.5703125" customWidth="1"/>
    <col min="4101" max="4101" width="29.140625" customWidth="1"/>
    <col min="4102" max="4102" width="20.7109375" customWidth="1"/>
    <col min="4103" max="4103" width="18.7109375" customWidth="1"/>
    <col min="4104" max="4106" width="19.7109375" customWidth="1"/>
    <col min="4107" max="4108" width="20.5703125" customWidth="1"/>
    <col min="4109" max="4110" width="22" customWidth="1"/>
    <col min="4111" max="4111" width="16.5703125" customWidth="1"/>
    <col min="4112" max="4112" width="18.7109375" customWidth="1"/>
    <col min="4113" max="4113" width="17" customWidth="1"/>
    <col min="4114" max="4114" width="18.7109375" customWidth="1"/>
    <col min="4353" max="4353" width="24.42578125" customWidth="1"/>
    <col min="4354" max="4354" width="32.28515625" customWidth="1"/>
    <col min="4355" max="4356" width="20.5703125" customWidth="1"/>
    <col min="4357" max="4357" width="29.140625" customWidth="1"/>
    <col min="4358" max="4358" width="20.7109375" customWidth="1"/>
    <col min="4359" max="4359" width="18.7109375" customWidth="1"/>
    <col min="4360" max="4362" width="19.7109375" customWidth="1"/>
    <col min="4363" max="4364" width="20.5703125" customWidth="1"/>
    <col min="4365" max="4366" width="22" customWidth="1"/>
    <col min="4367" max="4367" width="16.5703125" customWidth="1"/>
    <col min="4368" max="4368" width="18.7109375" customWidth="1"/>
    <col min="4369" max="4369" width="17" customWidth="1"/>
    <col min="4370" max="4370" width="18.7109375" customWidth="1"/>
    <col min="4609" max="4609" width="24.42578125" customWidth="1"/>
    <col min="4610" max="4610" width="32.28515625" customWidth="1"/>
    <col min="4611" max="4612" width="20.5703125" customWidth="1"/>
    <col min="4613" max="4613" width="29.140625" customWidth="1"/>
    <col min="4614" max="4614" width="20.7109375" customWidth="1"/>
    <col min="4615" max="4615" width="18.7109375" customWidth="1"/>
    <col min="4616" max="4618" width="19.7109375" customWidth="1"/>
    <col min="4619" max="4620" width="20.5703125" customWidth="1"/>
    <col min="4621" max="4622" width="22" customWidth="1"/>
    <col min="4623" max="4623" width="16.5703125" customWidth="1"/>
    <col min="4624" max="4624" width="18.7109375" customWidth="1"/>
    <col min="4625" max="4625" width="17" customWidth="1"/>
    <col min="4626" max="4626" width="18.7109375" customWidth="1"/>
    <col min="4865" max="4865" width="24.42578125" customWidth="1"/>
    <col min="4866" max="4866" width="32.28515625" customWidth="1"/>
    <col min="4867" max="4868" width="20.5703125" customWidth="1"/>
    <col min="4869" max="4869" width="29.140625" customWidth="1"/>
    <col min="4870" max="4870" width="20.7109375" customWidth="1"/>
    <col min="4871" max="4871" width="18.7109375" customWidth="1"/>
    <col min="4872" max="4874" width="19.7109375" customWidth="1"/>
    <col min="4875" max="4876" width="20.5703125" customWidth="1"/>
    <col min="4877" max="4878" width="22" customWidth="1"/>
    <col min="4879" max="4879" width="16.5703125" customWidth="1"/>
    <col min="4880" max="4880" width="18.7109375" customWidth="1"/>
    <col min="4881" max="4881" width="17" customWidth="1"/>
    <col min="4882" max="4882" width="18.7109375" customWidth="1"/>
    <col min="5121" max="5121" width="24.42578125" customWidth="1"/>
    <col min="5122" max="5122" width="32.28515625" customWidth="1"/>
    <col min="5123" max="5124" width="20.5703125" customWidth="1"/>
    <col min="5125" max="5125" width="29.140625" customWidth="1"/>
    <col min="5126" max="5126" width="20.7109375" customWidth="1"/>
    <col min="5127" max="5127" width="18.7109375" customWidth="1"/>
    <col min="5128" max="5130" width="19.7109375" customWidth="1"/>
    <col min="5131" max="5132" width="20.5703125" customWidth="1"/>
    <col min="5133" max="5134" width="22" customWidth="1"/>
    <col min="5135" max="5135" width="16.5703125" customWidth="1"/>
    <col min="5136" max="5136" width="18.7109375" customWidth="1"/>
    <col min="5137" max="5137" width="17" customWidth="1"/>
    <col min="5138" max="5138" width="18.7109375" customWidth="1"/>
    <col min="5377" max="5377" width="24.42578125" customWidth="1"/>
    <col min="5378" max="5378" width="32.28515625" customWidth="1"/>
    <col min="5379" max="5380" width="20.5703125" customWidth="1"/>
    <col min="5381" max="5381" width="29.140625" customWidth="1"/>
    <col min="5382" max="5382" width="20.7109375" customWidth="1"/>
    <col min="5383" max="5383" width="18.7109375" customWidth="1"/>
    <col min="5384" max="5386" width="19.7109375" customWidth="1"/>
    <col min="5387" max="5388" width="20.5703125" customWidth="1"/>
    <col min="5389" max="5390" width="22" customWidth="1"/>
    <col min="5391" max="5391" width="16.5703125" customWidth="1"/>
    <col min="5392" max="5392" width="18.7109375" customWidth="1"/>
    <col min="5393" max="5393" width="17" customWidth="1"/>
    <col min="5394" max="5394" width="18.7109375" customWidth="1"/>
    <col min="5633" max="5633" width="24.42578125" customWidth="1"/>
    <col min="5634" max="5634" width="32.28515625" customWidth="1"/>
    <col min="5635" max="5636" width="20.5703125" customWidth="1"/>
    <col min="5637" max="5637" width="29.140625" customWidth="1"/>
    <col min="5638" max="5638" width="20.7109375" customWidth="1"/>
    <col min="5639" max="5639" width="18.7109375" customWidth="1"/>
    <col min="5640" max="5642" width="19.7109375" customWidth="1"/>
    <col min="5643" max="5644" width="20.5703125" customWidth="1"/>
    <col min="5645" max="5646" width="22" customWidth="1"/>
    <col min="5647" max="5647" width="16.5703125" customWidth="1"/>
    <col min="5648" max="5648" width="18.7109375" customWidth="1"/>
    <col min="5649" max="5649" width="17" customWidth="1"/>
    <col min="5650" max="5650" width="18.7109375" customWidth="1"/>
    <col min="5889" max="5889" width="24.42578125" customWidth="1"/>
    <col min="5890" max="5890" width="32.28515625" customWidth="1"/>
    <col min="5891" max="5892" width="20.5703125" customWidth="1"/>
    <col min="5893" max="5893" width="29.140625" customWidth="1"/>
    <col min="5894" max="5894" width="20.7109375" customWidth="1"/>
    <col min="5895" max="5895" width="18.7109375" customWidth="1"/>
    <col min="5896" max="5898" width="19.7109375" customWidth="1"/>
    <col min="5899" max="5900" width="20.5703125" customWidth="1"/>
    <col min="5901" max="5902" width="22" customWidth="1"/>
    <col min="5903" max="5903" width="16.5703125" customWidth="1"/>
    <col min="5904" max="5904" width="18.7109375" customWidth="1"/>
    <col min="5905" max="5905" width="17" customWidth="1"/>
    <col min="5906" max="5906" width="18.7109375" customWidth="1"/>
    <col min="6145" max="6145" width="24.42578125" customWidth="1"/>
    <col min="6146" max="6146" width="32.28515625" customWidth="1"/>
    <col min="6147" max="6148" width="20.5703125" customWidth="1"/>
    <col min="6149" max="6149" width="29.140625" customWidth="1"/>
    <col min="6150" max="6150" width="20.7109375" customWidth="1"/>
    <col min="6151" max="6151" width="18.7109375" customWidth="1"/>
    <col min="6152" max="6154" width="19.7109375" customWidth="1"/>
    <col min="6155" max="6156" width="20.5703125" customWidth="1"/>
    <col min="6157" max="6158" width="22" customWidth="1"/>
    <col min="6159" max="6159" width="16.5703125" customWidth="1"/>
    <col min="6160" max="6160" width="18.7109375" customWidth="1"/>
    <col min="6161" max="6161" width="17" customWidth="1"/>
    <col min="6162" max="6162" width="18.7109375" customWidth="1"/>
    <col min="6401" max="6401" width="24.42578125" customWidth="1"/>
    <col min="6402" max="6402" width="32.28515625" customWidth="1"/>
    <col min="6403" max="6404" width="20.5703125" customWidth="1"/>
    <col min="6405" max="6405" width="29.140625" customWidth="1"/>
    <col min="6406" max="6406" width="20.7109375" customWidth="1"/>
    <col min="6407" max="6407" width="18.7109375" customWidth="1"/>
    <col min="6408" max="6410" width="19.7109375" customWidth="1"/>
    <col min="6411" max="6412" width="20.5703125" customWidth="1"/>
    <col min="6413" max="6414" width="22" customWidth="1"/>
    <col min="6415" max="6415" width="16.5703125" customWidth="1"/>
    <col min="6416" max="6416" width="18.7109375" customWidth="1"/>
    <col min="6417" max="6417" width="17" customWidth="1"/>
    <col min="6418" max="6418" width="18.7109375" customWidth="1"/>
    <col min="6657" max="6657" width="24.42578125" customWidth="1"/>
    <col min="6658" max="6658" width="32.28515625" customWidth="1"/>
    <col min="6659" max="6660" width="20.5703125" customWidth="1"/>
    <col min="6661" max="6661" width="29.140625" customWidth="1"/>
    <col min="6662" max="6662" width="20.7109375" customWidth="1"/>
    <col min="6663" max="6663" width="18.7109375" customWidth="1"/>
    <col min="6664" max="6666" width="19.7109375" customWidth="1"/>
    <col min="6667" max="6668" width="20.5703125" customWidth="1"/>
    <col min="6669" max="6670" width="22" customWidth="1"/>
    <col min="6671" max="6671" width="16.5703125" customWidth="1"/>
    <col min="6672" max="6672" width="18.7109375" customWidth="1"/>
    <col min="6673" max="6673" width="17" customWidth="1"/>
    <col min="6674" max="6674" width="18.7109375" customWidth="1"/>
    <col min="6913" max="6913" width="24.42578125" customWidth="1"/>
    <col min="6914" max="6914" width="32.28515625" customWidth="1"/>
    <col min="6915" max="6916" width="20.5703125" customWidth="1"/>
    <col min="6917" max="6917" width="29.140625" customWidth="1"/>
    <col min="6918" max="6918" width="20.7109375" customWidth="1"/>
    <col min="6919" max="6919" width="18.7109375" customWidth="1"/>
    <col min="6920" max="6922" width="19.7109375" customWidth="1"/>
    <col min="6923" max="6924" width="20.5703125" customWidth="1"/>
    <col min="6925" max="6926" width="22" customWidth="1"/>
    <col min="6927" max="6927" width="16.5703125" customWidth="1"/>
    <col min="6928" max="6928" width="18.7109375" customWidth="1"/>
    <col min="6929" max="6929" width="17" customWidth="1"/>
    <col min="6930" max="6930" width="18.7109375" customWidth="1"/>
    <col min="7169" max="7169" width="24.42578125" customWidth="1"/>
    <col min="7170" max="7170" width="32.28515625" customWidth="1"/>
    <col min="7171" max="7172" width="20.5703125" customWidth="1"/>
    <col min="7173" max="7173" width="29.140625" customWidth="1"/>
    <col min="7174" max="7174" width="20.7109375" customWidth="1"/>
    <col min="7175" max="7175" width="18.7109375" customWidth="1"/>
    <col min="7176" max="7178" width="19.7109375" customWidth="1"/>
    <col min="7179" max="7180" width="20.5703125" customWidth="1"/>
    <col min="7181" max="7182" width="22" customWidth="1"/>
    <col min="7183" max="7183" width="16.5703125" customWidth="1"/>
    <col min="7184" max="7184" width="18.7109375" customWidth="1"/>
    <col min="7185" max="7185" width="17" customWidth="1"/>
    <col min="7186" max="7186" width="18.7109375" customWidth="1"/>
    <col min="7425" max="7425" width="24.42578125" customWidth="1"/>
    <col min="7426" max="7426" width="32.28515625" customWidth="1"/>
    <col min="7427" max="7428" width="20.5703125" customWidth="1"/>
    <col min="7429" max="7429" width="29.140625" customWidth="1"/>
    <col min="7430" max="7430" width="20.7109375" customWidth="1"/>
    <col min="7431" max="7431" width="18.7109375" customWidth="1"/>
    <col min="7432" max="7434" width="19.7109375" customWidth="1"/>
    <col min="7435" max="7436" width="20.5703125" customWidth="1"/>
    <col min="7437" max="7438" width="22" customWidth="1"/>
    <col min="7439" max="7439" width="16.5703125" customWidth="1"/>
    <col min="7440" max="7440" width="18.7109375" customWidth="1"/>
    <col min="7441" max="7441" width="17" customWidth="1"/>
    <col min="7442" max="7442" width="18.7109375" customWidth="1"/>
    <col min="7681" max="7681" width="24.42578125" customWidth="1"/>
    <col min="7682" max="7682" width="32.28515625" customWidth="1"/>
    <col min="7683" max="7684" width="20.5703125" customWidth="1"/>
    <col min="7685" max="7685" width="29.140625" customWidth="1"/>
    <col min="7686" max="7686" width="20.7109375" customWidth="1"/>
    <col min="7687" max="7687" width="18.7109375" customWidth="1"/>
    <col min="7688" max="7690" width="19.7109375" customWidth="1"/>
    <col min="7691" max="7692" width="20.5703125" customWidth="1"/>
    <col min="7693" max="7694" width="22" customWidth="1"/>
    <col min="7695" max="7695" width="16.5703125" customWidth="1"/>
    <col min="7696" max="7696" width="18.7109375" customWidth="1"/>
    <col min="7697" max="7697" width="17" customWidth="1"/>
    <col min="7698" max="7698" width="18.7109375" customWidth="1"/>
    <col min="7937" max="7937" width="24.42578125" customWidth="1"/>
    <col min="7938" max="7938" width="32.28515625" customWidth="1"/>
    <col min="7939" max="7940" width="20.5703125" customWidth="1"/>
    <col min="7941" max="7941" width="29.140625" customWidth="1"/>
    <col min="7942" max="7942" width="20.7109375" customWidth="1"/>
    <col min="7943" max="7943" width="18.7109375" customWidth="1"/>
    <col min="7944" max="7946" width="19.7109375" customWidth="1"/>
    <col min="7947" max="7948" width="20.5703125" customWidth="1"/>
    <col min="7949" max="7950" width="22" customWidth="1"/>
    <col min="7951" max="7951" width="16.5703125" customWidth="1"/>
    <col min="7952" max="7952" width="18.7109375" customWidth="1"/>
    <col min="7953" max="7953" width="17" customWidth="1"/>
    <col min="7954" max="7954" width="18.7109375" customWidth="1"/>
    <col min="8193" max="8193" width="24.42578125" customWidth="1"/>
    <col min="8194" max="8194" width="32.28515625" customWidth="1"/>
    <col min="8195" max="8196" width="20.5703125" customWidth="1"/>
    <col min="8197" max="8197" width="29.140625" customWidth="1"/>
    <col min="8198" max="8198" width="20.7109375" customWidth="1"/>
    <col min="8199" max="8199" width="18.7109375" customWidth="1"/>
    <col min="8200" max="8202" width="19.7109375" customWidth="1"/>
    <col min="8203" max="8204" width="20.5703125" customWidth="1"/>
    <col min="8205" max="8206" width="22" customWidth="1"/>
    <col min="8207" max="8207" width="16.5703125" customWidth="1"/>
    <col min="8208" max="8208" width="18.7109375" customWidth="1"/>
    <col min="8209" max="8209" width="17" customWidth="1"/>
    <col min="8210" max="8210" width="18.7109375" customWidth="1"/>
    <col min="8449" max="8449" width="24.42578125" customWidth="1"/>
    <col min="8450" max="8450" width="32.28515625" customWidth="1"/>
    <col min="8451" max="8452" width="20.5703125" customWidth="1"/>
    <col min="8453" max="8453" width="29.140625" customWidth="1"/>
    <col min="8454" max="8454" width="20.7109375" customWidth="1"/>
    <col min="8455" max="8455" width="18.7109375" customWidth="1"/>
    <col min="8456" max="8458" width="19.7109375" customWidth="1"/>
    <col min="8459" max="8460" width="20.5703125" customWidth="1"/>
    <col min="8461" max="8462" width="22" customWidth="1"/>
    <col min="8463" max="8463" width="16.5703125" customWidth="1"/>
    <col min="8464" max="8464" width="18.7109375" customWidth="1"/>
    <col min="8465" max="8465" width="17" customWidth="1"/>
    <col min="8466" max="8466" width="18.7109375" customWidth="1"/>
    <col min="8705" max="8705" width="24.42578125" customWidth="1"/>
    <col min="8706" max="8706" width="32.28515625" customWidth="1"/>
    <col min="8707" max="8708" width="20.5703125" customWidth="1"/>
    <col min="8709" max="8709" width="29.140625" customWidth="1"/>
    <col min="8710" max="8710" width="20.7109375" customWidth="1"/>
    <col min="8711" max="8711" width="18.7109375" customWidth="1"/>
    <col min="8712" max="8714" width="19.7109375" customWidth="1"/>
    <col min="8715" max="8716" width="20.5703125" customWidth="1"/>
    <col min="8717" max="8718" width="22" customWidth="1"/>
    <col min="8719" max="8719" width="16.5703125" customWidth="1"/>
    <col min="8720" max="8720" width="18.7109375" customWidth="1"/>
    <col min="8721" max="8721" width="17" customWidth="1"/>
    <col min="8722" max="8722" width="18.7109375" customWidth="1"/>
    <col min="8961" max="8961" width="24.42578125" customWidth="1"/>
    <col min="8962" max="8962" width="32.28515625" customWidth="1"/>
    <col min="8963" max="8964" width="20.5703125" customWidth="1"/>
    <col min="8965" max="8965" width="29.140625" customWidth="1"/>
    <col min="8966" max="8966" width="20.7109375" customWidth="1"/>
    <col min="8967" max="8967" width="18.7109375" customWidth="1"/>
    <col min="8968" max="8970" width="19.7109375" customWidth="1"/>
    <col min="8971" max="8972" width="20.5703125" customWidth="1"/>
    <col min="8973" max="8974" width="22" customWidth="1"/>
    <col min="8975" max="8975" width="16.5703125" customWidth="1"/>
    <col min="8976" max="8976" width="18.7109375" customWidth="1"/>
    <col min="8977" max="8977" width="17" customWidth="1"/>
    <col min="8978" max="8978" width="18.7109375" customWidth="1"/>
    <col min="9217" max="9217" width="24.42578125" customWidth="1"/>
    <col min="9218" max="9218" width="32.28515625" customWidth="1"/>
    <col min="9219" max="9220" width="20.5703125" customWidth="1"/>
    <col min="9221" max="9221" width="29.140625" customWidth="1"/>
    <col min="9222" max="9222" width="20.7109375" customWidth="1"/>
    <col min="9223" max="9223" width="18.7109375" customWidth="1"/>
    <col min="9224" max="9226" width="19.7109375" customWidth="1"/>
    <col min="9227" max="9228" width="20.5703125" customWidth="1"/>
    <col min="9229" max="9230" width="22" customWidth="1"/>
    <col min="9231" max="9231" width="16.5703125" customWidth="1"/>
    <col min="9232" max="9232" width="18.7109375" customWidth="1"/>
    <col min="9233" max="9233" width="17" customWidth="1"/>
    <col min="9234" max="9234" width="18.7109375" customWidth="1"/>
    <col min="9473" max="9473" width="24.42578125" customWidth="1"/>
    <col min="9474" max="9474" width="32.28515625" customWidth="1"/>
    <col min="9475" max="9476" width="20.5703125" customWidth="1"/>
    <col min="9477" max="9477" width="29.140625" customWidth="1"/>
    <col min="9478" max="9478" width="20.7109375" customWidth="1"/>
    <col min="9479" max="9479" width="18.7109375" customWidth="1"/>
    <col min="9480" max="9482" width="19.7109375" customWidth="1"/>
    <col min="9483" max="9484" width="20.5703125" customWidth="1"/>
    <col min="9485" max="9486" width="22" customWidth="1"/>
    <col min="9487" max="9487" width="16.5703125" customWidth="1"/>
    <col min="9488" max="9488" width="18.7109375" customWidth="1"/>
    <col min="9489" max="9489" width="17" customWidth="1"/>
    <col min="9490" max="9490" width="18.7109375" customWidth="1"/>
    <col min="9729" max="9729" width="24.42578125" customWidth="1"/>
    <col min="9730" max="9730" width="32.28515625" customWidth="1"/>
    <col min="9731" max="9732" width="20.5703125" customWidth="1"/>
    <col min="9733" max="9733" width="29.140625" customWidth="1"/>
    <col min="9734" max="9734" width="20.7109375" customWidth="1"/>
    <col min="9735" max="9735" width="18.7109375" customWidth="1"/>
    <col min="9736" max="9738" width="19.7109375" customWidth="1"/>
    <col min="9739" max="9740" width="20.5703125" customWidth="1"/>
    <col min="9741" max="9742" width="22" customWidth="1"/>
    <col min="9743" max="9743" width="16.5703125" customWidth="1"/>
    <col min="9744" max="9744" width="18.7109375" customWidth="1"/>
    <col min="9745" max="9745" width="17" customWidth="1"/>
    <col min="9746" max="9746" width="18.7109375" customWidth="1"/>
    <col min="9985" max="9985" width="24.42578125" customWidth="1"/>
    <col min="9986" max="9986" width="32.28515625" customWidth="1"/>
    <col min="9987" max="9988" width="20.5703125" customWidth="1"/>
    <col min="9989" max="9989" width="29.140625" customWidth="1"/>
    <col min="9990" max="9990" width="20.7109375" customWidth="1"/>
    <col min="9991" max="9991" width="18.7109375" customWidth="1"/>
    <col min="9992" max="9994" width="19.7109375" customWidth="1"/>
    <col min="9995" max="9996" width="20.5703125" customWidth="1"/>
    <col min="9997" max="9998" width="22" customWidth="1"/>
    <col min="9999" max="9999" width="16.5703125" customWidth="1"/>
    <col min="10000" max="10000" width="18.7109375" customWidth="1"/>
    <col min="10001" max="10001" width="17" customWidth="1"/>
    <col min="10002" max="10002" width="18.7109375" customWidth="1"/>
    <col min="10241" max="10241" width="24.42578125" customWidth="1"/>
    <col min="10242" max="10242" width="32.28515625" customWidth="1"/>
    <col min="10243" max="10244" width="20.5703125" customWidth="1"/>
    <col min="10245" max="10245" width="29.140625" customWidth="1"/>
    <col min="10246" max="10246" width="20.7109375" customWidth="1"/>
    <col min="10247" max="10247" width="18.7109375" customWidth="1"/>
    <col min="10248" max="10250" width="19.7109375" customWidth="1"/>
    <col min="10251" max="10252" width="20.5703125" customWidth="1"/>
    <col min="10253" max="10254" width="22" customWidth="1"/>
    <col min="10255" max="10255" width="16.5703125" customWidth="1"/>
    <col min="10256" max="10256" width="18.7109375" customWidth="1"/>
    <col min="10257" max="10257" width="17" customWidth="1"/>
    <col min="10258" max="10258" width="18.7109375" customWidth="1"/>
    <col min="10497" max="10497" width="24.42578125" customWidth="1"/>
    <col min="10498" max="10498" width="32.28515625" customWidth="1"/>
    <col min="10499" max="10500" width="20.5703125" customWidth="1"/>
    <col min="10501" max="10501" width="29.140625" customWidth="1"/>
    <col min="10502" max="10502" width="20.7109375" customWidth="1"/>
    <col min="10503" max="10503" width="18.7109375" customWidth="1"/>
    <col min="10504" max="10506" width="19.7109375" customWidth="1"/>
    <col min="10507" max="10508" width="20.5703125" customWidth="1"/>
    <col min="10509" max="10510" width="22" customWidth="1"/>
    <col min="10511" max="10511" width="16.5703125" customWidth="1"/>
    <col min="10512" max="10512" width="18.7109375" customWidth="1"/>
    <col min="10513" max="10513" width="17" customWidth="1"/>
    <col min="10514" max="10514" width="18.7109375" customWidth="1"/>
    <col min="10753" max="10753" width="24.42578125" customWidth="1"/>
    <col min="10754" max="10754" width="32.28515625" customWidth="1"/>
    <col min="10755" max="10756" width="20.5703125" customWidth="1"/>
    <col min="10757" max="10757" width="29.140625" customWidth="1"/>
    <col min="10758" max="10758" width="20.7109375" customWidth="1"/>
    <col min="10759" max="10759" width="18.7109375" customWidth="1"/>
    <col min="10760" max="10762" width="19.7109375" customWidth="1"/>
    <col min="10763" max="10764" width="20.5703125" customWidth="1"/>
    <col min="10765" max="10766" width="22" customWidth="1"/>
    <col min="10767" max="10767" width="16.5703125" customWidth="1"/>
    <col min="10768" max="10768" width="18.7109375" customWidth="1"/>
    <col min="10769" max="10769" width="17" customWidth="1"/>
    <col min="10770" max="10770" width="18.7109375" customWidth="1"/>
    <col min="11009" max="11009" width="24.42578125" customWidth="1"/>
    <col min="11010" max="11010" width="32.28515625" customWidth="1"/>
    <col min="11011" max="11012" width="20.5703125" customWidth="1"/>
    <col min="11013" max="11013" width="29.140625" customWidth="1"/>
    <col min="11014" max="11014" width="20.7109375" customWidth="1"/>
    <col min="11015" max="11015" width="18.7109375" customWidth="1"/>
    <col min="11016" max="11018" width="19.7109375" customWidth="1"/>
    <col min="11019" max="11020" width="20.5703125" customWidth="1"/>
    <col min="11021" max="11022" width="22" customWidth="1"/>
    <col min="11023" max="11023" width="16.5703125" customWidth="1"/>
    <col min="11024" max="11024" width="18.7109375" customWidth="1"/>
    <col min="11025" max="11025" width="17" customWidth="1"/>
    <col min="11026" max="11026" width="18.7109375" customWidth="1"/>
    <col min="11265" max="11265" width="24.42578125" customWidth="1"/>
    <col min="11266" max="11266" width="32.28515625" customWidth="1"/>
    <col min="11267" max="11268" width="20.5703125" customWidth="1"/>
    <col min="11269" max="11269" width="29.140625" customWidth="1"/>
    <col min="11270" max="11270" width="20.7109375" customWidth="1"/>
    <col min="11271" max="11271" width="18.7109375" customWidth="1"/>
    <col min="11272" max="11274" width="19.7109375" customWidth="1"/>
    <col min="11275" max="11276" width="20.5703125" customWidth="1"/>
    <col min="11277" max="11278" width="22" customWidth="1"/>
    <col min="11279" max="11279" width="16.5703125" customWidth="1"/>
    <col min="11280" max="11280" width="18.7109375" customWidth="1"/>
    <col min="11281" max="11281" width="17" customWidth="1"/>
    <col min="11282" max="11282" width="18.7109375" customWidth="1"/>
    <col min="11521" max="11521" width="24.42578125" customWidth="1"/>
    <col min="11522" max="11522" width="32.28515625" customWidth="1"/>
    <col min="11523" max="11524" width="20.5703125" customWidth="1"/>
    <col min="11525" max="11525" width="29.140625" customWidth="1"/>
    <col min="11526" max="11526" width="20.7109375" customWidth="1"/>
    <col min="11527" max="11527" width="18.7109375" customWidth="1"/>
    <col min="11528" max="11530" width="19.7109375" customWidth="1"/>
    <col min="11531" max="11532" width="20.5703125" customWidth="1"/>
    <col min="11533" max="11534" width="22" customWidth="1"/>
    <col min="11535" max="11535" width="16.5703125" customWidth="1"/>
    <col min="11536" max="11536" width="18.7109375" customWidth="1"/>
    <col min="11537" max="11537" width="17" customWidth="1"/>
    <col min="11538" max="11538" width="18.7109375" customWidth="1"/>
    <col min="11777" max="11777" width="24.42578125" customWidth="1"/>
    <col min="11778" max="11778" width="32.28515625" customWidth="1"/>
    <col min="11779" max="11780" width="20.5703125" customWidth="1"/>
    <col min="11781" max="11781" width="29.140625" customWidth="1"/>
    <col min="11782" max="11782" width="20.7109375" customWidth="1"/>
    <col min="11783" max="11783" width="18.7109375" customWidth="1"/>
    <col min="11784" max="11786" width="19.7109375" customWidth="1"/>
    <col min="11787" max="11788" width="20.5703125" customWidth="1"/>
    <col min="11789" max="11790" width="22" customWidth="1"/>
    <col min="11791" max="11791" width="16.5703125" customWidth="1"/>
    <col min="11792" max="11792" width="18.7109375" customWidth="1"/>
    <col min="11793" max="11793" width="17" customWidth="1"/>
    <col min="11794" max="11794" width="18.7109375" customWidth="1"/>
    <col min="12033" max="12033" width="24.42578125" customWidth="1"/>
    <col min="12034" max="12034" width="32.28515625" customWidth="1"/>
    <col min="12035" max="12036" width="20.5703125" customWidth="1"/>
    <col min="12037" max="12037" width="29.140625" customWidth="1"/>
    <col min="12038" max="12038" width="20.7109375" customWidth="1"/>
    <col min="12039" max="12039" width="18.7109375" customWidth="1"/>
    <col min="12040" max="12042" width="19.7109375" customWidth="1"/>
    <col min="12043" max="12044" width="20.5703125" customWidth="1"/>
    <col min="12045" max="12046" width="22" customWidth="1"/>
    <col min="12047" max="12047" width="16.5703125" customWidth="1"/>
    <col min="12048" max="12048" width="18.7109375" customWidth="1"/>
    <col min="12049" max="12049" width="17" customWidth="1"/>
    <col min="12050" max="12050" width="18.7109375" customWidth="1"/>
    <col min="12289" max="12289" width="24.42578125" customWidth="1"/>
    <col min="12290" max="12290" width="32.28515625" customWidth="1"/>
    <col min="12291" max="12292" width="20.5703125" customWidth="1"/>
    <col min="12293" max="12293" width="29.140625" customWidth="1"/>
    <col min="12294" max="12294" width="20.7109375" customWidth="1"/>
    <col min="12295" max="12295" width="18.7109375" customWidth="1"/>
    <col min="12296" max="12298" width="19.7109375" customWidth="1"/>
    <col min="12299" max="12300" width="20.5703125" customWidth="1"/>
    <col min="12301" max="12302" width="22" customWidth="1"/>
    <col min="12303" max="12303" width="16.5703125" customWidth="1"/>
    <col min="12304" max="12304" width="18.7109375" customWidth="1"/>
    <col min="12305" max="12305" width="17" customWidth="1"/>
    <col min="12306" max="12306" width="18.7109375" customWidth="1"/>
    <col min="12545" max="12545" width="24.42578125" customWidth="1"/>
    <col min="12546" max="12546" width="32.28515625" customWidth="1"/>
    <col min="12547" max="12548" width="20.5703125" customWidth="1"/>
    <col min="12549" max="12549" width="29.140625" customWidth="1"/>
    <col min="12550" max="12550" width="20.7109375" customWidth="1"/>
    <col min="12551" max="12551" width="18.7109375" customWidth="1"/>
    <col min="12552" max="12554" width="19.7109375" customWidth="1"/>
    <col min="12555" max="12556" width="20.5703125" customWidth="1"/>
    <col min="12557" max="12558" width="22" customWidth="1"/>
    <col min="12559" max="12559" width="16.5703125" customWidth="1"/>
    <col min="12560" max="12560" width="18.7109375" customWidth="1"/>
    <col min="12561" max="12561" width="17" customWidth="1"/>
    <col min="12562" max="12562" width="18.7109375" customWidth="1"/>
    <col min="12801" max="12801" width="24.42578125" customWidth="1"/>
    <col min="12802" max="12802" width="32.28515625" customWidth="1"/>
    <col min="12803" max="12804" width="20.5703125" customWidth="1"/>
    <col min="12805" max="12805" width="29.140625" customWidth="1"/>
    <col min="12806" max="12806" width="20.7109375" customWidth="1"/>
    <col min="12807" max="12807" width="18.7109375" customWidth="1"/>
    <col min="12808" max="12810" width="19.7109375" customWidth="1"/>
    <col min="12811" max="12812" width="20.5703125" customWidth="1"/>
    <col min="12813" max="12814" width="22" customWidth="1"/>
    <col min="12815" max="12815" width="16.5703125" customWidth="1"/>
    <col min="12816" max="12816" width="18.7109375" customWidth="1"/>
    <col min="12817" max="12817" width="17" customWidth="1"/>
    <col min="12818" max="12818" width="18.7109375" customWidth="1"/>
    <col min="13057" max="13057" width="24.42578125" customWidth="1"/>
    <col min="13058" max="13058" width="32.28515625" customWidth="1"/>
    <col min="13059" max="13060" width="20.5703125" customWidth="1"/>
    <col min="13061" max="13061" width="29.140625" customWidth="1"/>
    <col min="13062" max="13062" width="20.7109375" customWidth="1"/>
    <col min="13063" max="13063" width="18.7109375" customWidth="1"/>
    <col min="13064" max="13066" width="19.7109375" customWidth="1"/>
    <col min="13067" max="13068" width="20.5703125" customWidth="1"/>
    <col min="13069" max="13070" width="22" customWidth="1"/>
    <col min="13071" max="13071" width="16.5703125" customWidth="1"/>
    <col min="13072" max="13072" width="18.7109375" customWidth="1"/>
    <col min="13073" max="13073" width="17" customWidth="1"/>
    <col min="13074" max="13074" width="18.7109375" customWidth="1"/>
    <col min="13313" max="13313" width="24.42578125" customWidth="1"/>
    <col min="13314" max="13314" width="32.28515625" customWidth="1"/>
    <col min="13315" max="13316" width="20.5703125" customWidth="1"/>
    <col min="13317" max="13317" width="29.140625" customWidth="1"/>
    <col min="13318" max="13318" width="20.7109375" customWidth="1"/>
    <col min="13319" max="13319" width="18.7109375" customWidth="1"/>
    <col min="13320" max="13322" width="19.7109375" customWidth="1"/>
    <col min="13323" max="13324" width="20.5703125" customWidth="1"/>
    <col min="13325" max="13326" width="22" customWidth="1"/>
    <col min="13327" max="13327" width="16.5703125" customWidth="1"/>
    <col min="13328" max="13328" width="18.7109375" customWidth="1"/>
    <col min="13329" max="13329" width="17" customWidth="1"/>
    <col min="13330" max="13330" width="18.7109375" customWidth="1"/>
    <col min="13569" max="13569" width="24.42578125" customWidth="1"/>
    <col min="13570" max="13570" width="32.28515625" customWidth="1"/>
    <col min="13571" max="13572" width="20.5703125" customWidth="1"/>
    <col min="13573" max="13573" width="29.140625" customWidth="1"/>
    <col min="13574" max="13574" width="20.7109375" customWidth="1"/>
    <col min="13575" max="13575" width="18.7109375" customWidth="1"/>
    <col min="13576" max="13578" width="19.7109375" customWidth="1"/>
    <col min="13579" max="13580" width="20.5703125" customWidth="1"/>
    <col min="13581" max="13582" width="22" customWidth="1"/>
    <col min="13583" max="13583" width="16.5703125" customWidth="1"/>
    <col min="13584" max="13584" width="18.7109375" customWidth="1"/>
    <col min="13585" max="13585" width="17" customWidth="1"/>
    <col min="13586" max="13586" width="18.7109375" customWidth="1"/>
    <col min="13825" max="13825" width="24.42578125" customWidth="1"/>
    <col min="13826" max="13826" width="32.28515625" customWidth="1"/>
    <col min="13827" max="13828" width="20.5703125" customWidth="1"/>
    <col min="13829" max="13829" width="29.140625" customWidth="1"/>
    <col min="13830" max="13830" width="20.7109375" customWidth="1"/>
    <col min="13831" max="13831" width="18.7109375" customWidth="1"/>
    <col min="13832" max="13834" width="19.7109375" customWidth="1"/>
    <col min="13835" max="13836" width="20.5703125" customWidth="1"/>
    <col min="13837" max="13838" width="22" customWidth="1"/>
    <col min="13839" max="13839" width="16.5703125" customWidth="1"/>
    <col min="13840" max="13840" width="18.7109375" customWidth="1"/>
    <col min="13841" max="13841" width="17" customWidth="1"/>
    <col min="13842" max="13842" width="18.7109375" customWidth="1"/>
    <col min="14081" max="14081" width="24.42578125" customWidth="1"/>
    <col min="14082" max="14082" width="32.28515625" customWidth="1"/>
    <col min="14083" max="14084" width="20.5703125" customWidth="1"/>
    <col min="14085" max="14085" width="29.140625" customWidth="1"/>
    <col min="14086" max="14086" width="20.7109375" customWidth="1"/>
    <col min="14087" max="14087" width="18.7109375" customWidth="1"/>
    <col min="14088" max="14090" width="19.7109375" customWidth="1"/>
    <col min="14091" max="14092" width="20.5703125" customWidth="1"/>
    <col min="14093" max="14094" width="22" customWidth="1"/>
    <col min="14095" max="14095" width="16.5703125" customWidth="1"/>
    <col min="14096" max="14096" width="18.7109375" customWidth="1"/>
    <col min="14097" max="14097" width="17" customWidth="1"/>
    <col min="14098" max="14098" width="18.7109375" customWidth="1"/>
    <col min="14337" max="14337" width="24.42578125" customWidth="1"/>
    <col min="14338" max="14338" width="32.28515625" customWidth="1"/>
    <col min="14339" max="14340" width="20.5703125" customWidth="1"/>
    <col min="14341" max="14341" width="29.140625" customWidth="1"/>
    <col min="14342" max="14342" width="20.7109375" customWidth="1"/>
    <col min="14343" max="14343" width="18.7109375" customWidth="1"/>
    <col min="14344" max="14346" width="19.7109375" customWidth="1"/>
    <col min="14347" max="14348" width="20.5703125" customWidth="1"/>
    <col min="14349" max="14350" width="22" customWidth="1"/>
    <col min="14351" max="14351" width="16.5703125" customWidth="1"/>
    <col min="14352" max="14352" width="18.7109375" customWidth="1"/>
    <col min="14353" max="14353" width="17" customWidth="1"/>
    <col min="14354" max="14354" width="18.7109375" customWidth="1"/>
    <col min="14593" max="14593" width="24.42578125" customWidth="1"/>
    <col min="14594" max="14594" width="32.28515625" customWidth="1"/>
    <col min="14595" max="14596" width="20.5703125" customWidth="1"/>
    <col min="14597" max="14597" width="29.140625" customWidth="1"/>
    <col min="14598" max="14598" width="20.7109375" customWidth="1"/>
    <col min="14599" max="14599" width="18.7109375" customWidth="1"/>
    <col min="14600" max="14602" width="19.7109375" customWidth="1"/>
    <col min="14603" max="14604" width="20.5703125" customWidth="1"/>
    <col min="14605" max="14606" width="22" customWidth="1"/>
    <col min="14607" max="14607" width="16.5703125" customWidth="1"/>
    <col min="14608" max="14608" width="18.7109375" customWidth="1"/>
    <col min="14609" max="14609" width="17" customWidth="1"/>
    <col min="14610" max="14610" width="18.7109375" customWidth="1"/>
    <col min="14849" max="14849" width="24.42578125" customWidth="1"/>
    <col min="14850" max="14850" width="32.28515625" customWidth="1"/>
    <col min="14851" max="14852" width="20.5703125" customWidth="1"/>
    <col min="14853" max="14853" width="29.140625" customWidth="1"/>
    <col min="14854" max="14854" width="20.7109375" customWidth="1"/>
    <col min="14855" max="14855" width="18.7109375" customWidth="1"/>
    <col min="14856" max="14858" width="19.7109375" customWidth="1"/>
    <col min="14859" max="14860" width="20.5703125" customWidth="1"/>
    <col min="14861" max="14862" width="22" customWidth="1"/>
    <col min="14863" max="14863" width="16.5703125" customWidth="1"/>
    <col min="14864" max="14864" width="18.7109375" customWidth="1"/>
    <col min="14865" max="14865" width="17" customWidth="1"/>
    <col min="14866" max="14866" width="18.7109375" customWidth="1"/>
    <col min="15105" max="15105" width="24.42578125" customWidth="1"/>
    <col min="15106" max="15106" width="32.28515625" customWidth="1"/>
    <col min="15107" max="15108" width="20.5703125" customWidth="1"/>
    <col min="15109" max="15109" width="29.140625" customWidth="1"/>
    <col min="15110" max="15110" width="20.7109375" customWidth="1"/>
    <col min="15111" max="15111" width="18.7109375" customWidth="1"/>
    <col min="15112" max="15114" width="19.7109375" customWidth="1"/>
    <col min="15115" max="15116" width="20.5703125" customWidth="1"/>
    <col min="15117" max="15118" width="22" customWidth="1"/>
    <col min="15119" max="15119" width="16.5703125" customWidth="1"/>
    <col min="15120" max="15120" width="18.7109375" customWidth="1"/>
    <col min="15121" max="15121" width="17" customWidth="1"/>
    <col min="15122" max="15122" width="18.7109375" customWidth="1"/>
    <col min="15361" max="15361" width="24.42578125" customWidth="1"/>
    <col min="15362" max="15362" width="32.28515625" customWidth="1"/>
    <col min="15363" max="15364" width="20.5703125" customWidth="1"/>
    <col min="15365" max="15365" width="29.140625" customWidth="1"/>
    <col min="15366" max="15366" width="20.7109375" customWidth="1"/>
    <col min="15367" max="15367" width="18.7109375" customWidth="1"/>
    <col min="15368" max="15370" width="19.7109375" customWidth="1"/>
    <col min="15371" max="15372" width="20.5703125" customWidth="1"/>
    <col min="15373" max="15374" width="22" customWidth="1"/>
    <col min="15375" max="15375" width="16.5703125" customWidth="1"/>
    <col min="15376" max="15376" width="18.7109375" customWidth="1"/>
    <col min="15377" max="15377" width="17" customWidth="1"/>
    <col min="15378" max="15378" width="18.7109375" customWidth="1"/>
    <col min="15617" max="15617" width="24.42578125" customWidth="1"/>
    <col min="15618" max="15618" width="32.28515625" customWidth="1"/>
    <col min="15619" max="15620" width="20.5703125" customWidth="1"/>
    <col min="15621" max="15621" width="29.140625" customWidth="1"/>
    <col min="15622" max="15622" width="20.7109375" customWidth="1"/>
    <col min="15623" max="15623" width="18.7109375" customWidth="1"/>
    <col min="15624" max="15626" width="19.7109375" customWidth="1"/>
    <col min="15627" max="15628" width="20.5703125" customWidth="1"/>
    <col min="15629" max="15630" width="22" customWidth="1"/>
    <col min="15631" max="15631" width="16.5703125" customWidth="1"/>
    <col min="15632" max="15632" width="18.7109375" customWidth="1"/>
    <col min="15633" max="15633" width="17" customWidth="1"/>
    <col min="15634" max="15634" width="18.7109375" customWidth="1"/>
    <col min="15873" max="15873" width="24.42578125" customWidth="1"/>
    <col min="15874" max="15874" width="32.28515625" customWidth="1"/>
    <col min="15875" max="15876" width="20.5703125" customWidth="1"/>
    <col min="15877" max="15877" width="29.140625" customWidth="1"/>
    <col min="15878" max="15878" width="20.7109375" customWidth="1"/>
    <col min="15879" max="15879" width="18.7109375" customWidth="1"/>
    <col min="15880" max="15882" width="19.7109375" customWidth="1"/>
    <col min="15883" max="15884" width="20.5703125" customWidth="1"/>
    <col min="15885" max="15886" width="22" customWidth="1"/>
    <col min="15887" max="15887" width="16.5703125" customWidth="1"/>
    <col min="15888" max="15888" width="18.7109375" customWidth="1"/>
    <col min="15889" max="15889" width="17" customWidth="1"/>
    <col min="15890" max="15890" width="18.7109375" customWidth="1"/>
    <col min="16129" max="16129" width="24.42578125" customWidth="1"/>
    <col min="16130" max="16130" width="32.28515625" customWidth="1"/>
    <col min="16131" max="16132" width="20.5703125" customWidth="1"/>
    <col min="16133" max="16133" width="29.140625" customWidth="1"/>
    <col min="16134" max="16134" width="20.7109375" customWidth="1"/>
    <col min="16135" max="16135" width="18.7109375" customWidth="1"/>
    <col min="16136" max="16138" width="19.7109375" customWidth="1"/>
    <col min="16139" max="16140" width="20.5703125" customWidth="1"/>
    <col min="16141" max="16142" width="22" customWidth="1"/>
    <col min="16143" max="16143" width="16.5703125" customWidth="1"/>
    <col min="16144" max="16144" width="18.7109375" customWidth="1"/>
    <col min="16145" max="16145" width="17" customWidth="1"/>
    <col min="16146" max="16146" width="18.7109375" customWidth="1"/>
  </cols>
  <sheetData>
    <row r="1" spans="1:18" ht="18" x14ac:dyDescent="0.25">
      <c r="A1" s="563"/>
      <c r="B1" s="563"/>
      <c r="C1" s="564" t="s">
        <v>148</v>
      </c>
      <c r="D1" s="564"/>
      <c r="E1" s="564"/>
      <c r="F1" s="564"/>
      <c r="G1" s="564"/>
      <c r="H1" s="564"/>
      <c r="I1" s="564"/>
      <c r="J1" s="564"/>
      <c r="K1" s="564"/>
      <c r="L1" s="564"/>
      <c r="M1" s="564"/>
      <c r="N1" s="565" t="s">
        <v>149</v>
      </c>
      <c r="O1" s="566"/>
      <c r="P1" s="566"/>
      <c r="Q1" s="567"/>
    </row>
    <row r="2" spans="1:18" ht="18" x14ac:dyDescent="0.25">
      <c r="A2" s="563"/>
      <c r="B2" s="563"/>
      <c r="C2" s="564"/>
      <c r="D2" s="564"/>
      <c r="E2" s="564"/>
      <c r="F2" s="564"/>
      <c r="G2" s="564"/>
      <c r="H2" s="564"/>
      <c r="I2" s="564"/>
      <c r="J2" s="564"/>
      <c r="K2" s="564"/>
      <c r="L2" s="564"/>
      <c r="M2" s="564"/>
      <c r="N2" s="565" t="s">
        <v>150</v>
      </c>
      <c r="O2" s="566"/>
      <c r="P2" s="566"/>
      <c r="Q2" s="567"/>
    </row>
    <row r="3" spans="1:18" ht="18" x14ac:dyDescent="0.25">
      <c r="A3" s="563"/>
      <c r="B3" s="563"/>
      <c r="C3" s="564" t="s">
        <v>58</v>
      </c>
      <c r="D3" s="564"/>
      <c r="E3" s="564"/>
      <c r="F3" s="564"/>
      <c r="G3" s="564"/>
      <c r="H3" s="564"/>
      <c r="I3" s="564"/>
      <c r="J3" s="564"/>
      <c r="K3" s="564"/>
      <c r="L3" s="564"/>
      <c r="M3" s="564"/>
      <c r="N3" s="565" t="s">
        <v>151</v>
      </c>
      <c r="O3" s="566"/>
      <c r="P3" s="566"/>
      <c r="Q3" s="567"/>
    </row>
    <row r="5" spans="1:18" s="1" customFormat="1" ht="30" x14ac:dyDescent="0.25">
      <c r="A5" s="81" t="s">
        <v>1</v>
      </c>
      <c r="B5" s="82" t="s">
        <v>152</v>
      </c>
      <c r="C5" s="81" t="s">
        <v>344</v>
      </c>
      <c r="D5" s="81" t="s">
        <v>345</v>
      </c>
      <c r="E5" s="81" t="s">
        <v>346</v>
      </c>
      <c r="F5" s="81" t="s">
        <v>347</v>
      </c>
      <c r="G5" s="81" t="s">
        <v>348</v>
      </c>
      <c r="H5" s="81" t="s">
        <v>349</v>
      </c>
      <c r="I5" s="83" t="s">
        <v>164</v>
      </c>
      <c r="J5" s="81" t="s">
        <v>350</v>
      </c>
      <c r="K5" s="81" t="s">
        <v>351</v>
      </c>
      <c r="L5" s="83" t="s">
        <v>352</v>
      </c>
      <c r="M5" s="81" t="s">
        <v>353</v>
      </c>
      <c r="N5" s="81" t="s">
        <v>354</v>
      </c>
      <c r="O5" s="84" t="s">
        <v>355</v>
      </c>
      <c r="P5" s="84" t="s">
        <v>356</v>
      </c>
      <c r="Q5" s="85" t="s">
        <v>357</v>
      </c>
      <c r="R5" s="86" t="s">
        <v>358</v>
      </c>
    </row>
    <row r="6" spans="1:18" s="1" customFormat="1" ht="75" x14ac:dyDescent="0.25">
      <c r="A6" s="87" t="s">
        <v>169</v>
      </c>
      <c r="B6" s="57" t="s">
        <v>274</v>
      </c>
      <c r="C6" s="88" t="s">
        <v>274</v>
      </c>
      <c r="D6" s="88" t="s">
        <v>359</v>
      </c>
      <c r="E6" s="88">
        <v>25</v>
      </c>
      <c r="F6" s="16" t="s">
        <v>360</v>
      </c>
      <c r="G6" s="16">
        <v>0</v>
      </c>
      <c r="H6" s="16">
        <v>0</v>
      </c>
      <c r="I6" s="16">
        <f t="shared" ref="I6:I15" si="0">+G6*H6</f>
        <v>0</v>
      </c>
      <c r="J6" s="16">
        <v>0</v>
      </c>
      <c r="K6" s="16">
        <v>0</v>
      </c>
      <c r="L6" s="16">
        <v>0</v>
      </c>
      <c r="M6" s="16" t="s">
        <v>361</v>
      </c>
      <c r="N6" s="16">
        <v>0</v>
      </c>
      <c r="O6" s="16">
        <v>25</v>
      </c>
      <c r="P6" s="89">
        <v>200000</v>
      </c>
      <c r="Q6" s="89">
        <f t="shared" ref="Q6:Q12" si="1">+O6*P6</f>
        <v>5000000</v>
      </c>
      <c r="R6" s="89">
        <f t="shared" ref="R6:R15" si="2">+I6+L6+Q6</f>
        <v>5000000</v>
      </c>
    </row>
    <row r="7" spans="1:18" s="1" customFormat="1" ht="75" x14ac:dyDescent="0.25">
      <c r="A7" s="87" t="s">
        <v>169</v>
      </c>
      <c r="B7" s="57" t="s">
        <v>282</v>
      </c>
      <c r="C7" s="88" t="s">
        <v>362</v>
      </c>
      <c r="D7" s="88" t="s">
        <v>363</v>
      </c>
      <c r="E7" s="88">
        <f>32+32+6</f>
        <v>70</v>
      </c>
      <c r="F7" s="16" t="s">
        <v>364</v>
      </c>
      <c r="G7" s="16">
        <v>0</v>
      </c>
      <c r="H7" s="16">
        <v>0</v>
      </c>
      <c r="I7" s="16">
        <f t="shared" si="0"/>
        <v>0</v>
      </c>
      <c r="J7" s="16">
        <v>0</v>
      </c>
      <c r="K7" s="16">
        <v>0</v>
      </c>
      <c r="L7" s="16">
        <v>0</v>
      </c>
      <c r="M7" s="16" t="s">
        <v>361</v>
      </c>
      <c r="N7" s="16">
        <v>0</v>
      </c>
      <c r="O7" s="16">
        <v>70</v>
      </c>
      <c r="P7" s="89">
        <v>10000</v>
      </c>
      <c r="Q7" s="89">
        <f t="shared" si="1"/>
        <v>700000</v>
      </c>
      <c r="R7" s="89">
        <f t="shared" si="2"/>
        <v>700000</v>
      </c>
    </row>
    <row r="8" spans="1:18" s="1" customFormat="1" ht="75" x14ac:dyDescent="0.25">
      <c r="A8" s="87" t="s">
        <v>169</v>
      </c>
      <c r="B8" s="57" t="s">
        <v>282</v>
      </c>
      <c r="C8" s="88" t="s">
        <v>365</v>
      </c>
      <c r="D8" s="88" t="s">
        <v>366</v>
      </c>
      <c r="E8" s="88">
        <v>60</v>
      </c>
      <c r="F8" s="16" t="s">
        <v>360</v>
      </c>
      <c r="G8" s="16">
        <v>0</v>
      </c>
      <c r="H8" s="16">
        <v>0</v>
      </c>
      <c r="I8" s="16">
        <f t="shared" si="0"/>
        <v>0</v>
      </c>
      <c r="J8" s="16">
        <v>0</v>
      </c>
      <c r="K8" s="16">
        <v>0</v>
      </c>
      <c r="L8" s="16">
        <v>0</v>
      </c>
      <c r="M8" s="16" t="s">
        <v>361</v>
      </c>
      <c r="N8" s="16">
        <v>0</v>
      </c>
      <c r="O8" s="16">
        <v>60</v>
      </c>
      <c r="P8" s="89">
        <v>500000</v>
      </c>
      <c r="Q8" s="89">
        <f>+O8*P8</f>
        <v>30000000</v>
      </c>
      <c r="R8" s="89">
        <f t="shared" si="2"/>
        <v>30000000</v>
      </c>
    </row>
    <row r="9" spans="1:18" s="1" customFormat="1" ht="75" x14ac:dyDescent="0.25">
      <c r="A9" s="87" t="s">
        <v>169</v>
      </c>
      <c r="B9" s="57" t="s">
        <v>282</v>
      </c>
      <c r="C9" s="88" t="s">
        <v>367</v>
      </c>
      <c r="D9" s="88" t="s">
        <v>368</v>
      </c>
      <c r="E9" s="88">
        <v>60</v>
      </c>
      <c r="F9" s="16" t="s">
        <v>360</v>
      </c>
      <c r="G9" s="16">
        <v>0</v>
      </c>
      <c r="H9" s="16">
        <v>0</v>
      </c>
      <c r="I9" s="16">
        <f t="shared" si="0"/>
        <v>0</v>
      </c>
      <c r="J9" s="16">
        <v>0</v>
      </c>
      <c r="K9" s="16">
        <v>0</v>
      </c>
      <c r="L9" s="16">
        <v>0</v>
      </c>
      <c r="M9" s="16" t="s">
        <v>361</v>
      </c>
      <c r="N9" s="16">
        <v>0</v>
      </c>
      <c r="O9" s="16">
        <v>60</v>
      </c>
      <c r="P9" s="89">
        <v>30000</v>
      </c>
      <c r="Q9" s="89">
        <f t="shared" si="1"/>
        <v>1800000</v>
      </c>
      <c r="R9" s="89">
        <f t="shared" si="2"/>
        <v>1800000</v>
      </c>
    </row>
    <row r="10" spans="1:18" s="1" customFormat="1" ht="75" x14ac:dyDescent="0.25">
      <c r="A10" s="87" t="s">
        <v>169</v>
      </c>
      <c r="B10" s="57" t="s">
        <v>170</v>
      </c>
      <c r="C10" s="88" t="s">
        <v>369</v>
      </c>
      <c r="D10" s="88" t="s">
        <v>370</v>
      </c>
      <c r="E10" s="88">
        <f>95+25</f>
        <v>120</v>
      </c>
      <c r="F10" s="16" t="s">
        <v>360</v>
      </c>
      <c r="G10" s="16">
        <v>0</v>
      </c>
      <c r="H10" s="16">
        <v>0</v>
      </c>
      <c r="I10" s="16">
        <f t="shared" si="0"/>
        <v>0</v>
      </c>
      <c r="J10" s="16">
        <v>0</v>
      </c>
      <c r="K10" s="16">
        <v>0</v>
      </c>
      <c r="L10" s="16">
        <v>0</v>
      </c>
      <c r="M10" s="16" t="s">
        <v>361</v>
      </c>
      <c r="N10" s="16">
        <v>0</v>
      </c>
      <c r="O10" s="16">
        <v>120</v>
      </c>
      <c r="P10" s="89">
        <v>100000</v>
      </c>
      <c r="Q10" s="89">
        <f t="shared" si="1"/>
        <v>12000000</v>
      </c>
      <c r="R10" s="89">
        <f t="shared" si="2"/>
        <v>12000000</v>
      </c>
    </row>
    <row r="11" spans="1:18" s="26" customFormat="1" ht="75" x14ac:dyDescent="0.25">
      <c r="A11" s="87" t="s">
        <v>169</v>
      </c>
      <c r="B11" s="66"/>
      <c r="C11" s="34" t="s">
        <v>371</v>
      </c>
      <c r="D11" s="90" t="s">
        <v>366</v>
      </c>
      <c r="E11" s="34">
        <v>20</v>
      </c>
      <c r="F11" s="34" t="s">
        <v>360</v>
      </c>
      <c r="G11" s="34">
        <v>20</v>
      </c>
      <c r="H11" s="91">
        <v>800000</v>
      </c>
      <c r="I11" s="91">
        <f t="shared" si="0"/>
        <v>16000000</v>
      </c>
      <c r="J11" s="34">
        <v>0</v>
      </c>
      <c r="K11" s="34">
        <v>0</v>
      </c>
      <c r="L11" s="34">
        <f>+K11*J11</f>
        <v>0</v>
      </c>
      <c r="M11" s="34" t="s">
        <v>372</v>
      </c>
      <c r="N11" s="34">
        <v>20</v>
      </c>
      <c r="O11" s="90">
        <v>40</v>
      </c>
      <c r="P11" s="89">
        <v>30000</v>
      </c>
      <c r="Q11" s="89">
        <f t="shared" si="1"/>
        <v>1200000</v>
      </c>
      <c r="R11" s="89">
        <f t="shared" si="2"/>
        <v>17200000</v>
      </c>
    </row>
    <row r="12" spans="1:18" s="1" customFormat="1" ht="75" x14ac:dyDescent="0.25">
      <c r="A12" s="87" t="s">
        <v>169</v>
      </c>
      <c r="B12" s="57"/>
      <c r="C12" s="88" t="s">
        <v>373</v>
      </c>
      <c r="D12" s="88" t="s">
        <v>374</v>
      </c>
      <c r="E12" s="88">
        <v>40</v>
      </c>
      <c r="F12" s="34" t="s">
        <v>360</v>
      </c>
      <c r="G12" s="16">
        <v>0</v>
      </c>
      <c r="H12" s="16">
        <v>0</v>
      </c>
      <c r="I12" s="16">
        <f t="shared" si="0"/>
        <v>0</v>
      </c>
      <c r="J12" s="16">
        <v>0</v>
      </c>
      <c r="K12" s="16">
        <v>0</v>
      </c>
      <c r="L12" s="16">
        <f>+K12*J12</f>
        <v>0</v>
      </c>
      <c r="M12" s="16" t="s">
        <v>361</v>
      </c>
      <c r="N12" s="87"/>
      <c r="O12" s="88">
        <v>40</v>
      </c>
      <c r="P12" s="88">
        <v>0</v>
      </c>
      <c r="Q12" s="88">
        <f t="shared" si="1"/>
        <v>0</v>
      </c>
      <c r="R12" s="88">
        <f t="shared" si="2"/>
        <v>0</v>
      </c>
    </row>
    <row r="13" spans="1:18" s="26" customFormat="1" ht="75" x14ac:dyDescent="0.25">
      <c r="A13" s="87" t="s">
        <v>169</v>
      </c>
      <c r="B13" s="57"/>
      <c r="C13" s="16" t="s">
        <v>375</v>
      </c>
      <c r="D13" s="16" t="s">
        <v>376</v>
      </c>
      <c r="E13" s="16">
        <v>400</v>
      </c>
      <c r="F13" s="34" t="s">
        <v>360</v>
      </c>
      <c r="G13" s="16">
        <v>0</v>
      </c>
      <c r="H13" s="16">
        <v>0</v>
      </c>
      <c r="I13" s="16">
        <f t="shared" si="0"/>
        <v>0</v>
      </c>
      <c r="J13" s="16">
        <v>0</v>
      </c>
      <c r="K13" s="16">
        <v>0</v>
      </c>
      <c r="L13" s="16">
        <f>+K13*J13</f>
        <v>0</v>
      </c>
      <c r="M13" s="16" t="s">
        <v>361</v>
      </c>
      <c r="N13" s="16">
        <v>0</v>
      </c>
      <c r="O13" s="88">
        <v>400</v>
      </c>
      <c r="P13" s="88">
        <v>0</v>
      </c>
      <c r="Q13" s="88"/>
      <c r="R13" s="88">
        <f t="shared" si="2"/>
        <v>0</v>
      </c>
    </row>
    <row r="14" spans="1:18" s="1" customFormat="1" ht="75" x14ac:dyDescent="0.25">
      <c r="A14" s="87" t="s">
        <v>169</v>
      </c>
      <c r="B14" s="57"/>
      <c r="C14" s="16" t="s">
        <v>377</v>
      </c>
      <c r="D14" s="16" t="s">
        <v>376</v>
      </c>
      <c r="E14" s="16">
        <v>100</v>
      </c>
      <c r="F14" s="34" t="s">
        <v>360</v>
      </c>
      <c r="G14" s="16">
        <v>0</v>
      </c>
      <c r="H14" s="16">
        <v>0</v>
      </c>
      <c r="I14" s="16">
        <f t="shared" si="0"/>
        <v>0</v>
      </c>
      <c r="J14" s="16">
        <v>0</v>
      </c>
      <c r="K14" s="16">
        <v>0</v>
      </c>
      <c r="L14" s="16">
        <f>+K14*J14</f>
        <v>0</v>
      </c>
      <c r="M14" s="16" t="s">
        <v>361</v>
      </c>
      <c r="N14" s="16">
        <v>0</v>
      </c>
      <c r="O14" s="88">
        <v>100</v>
      </c>
      <c r="P14" s="88">
        <v>0</v>
      </c>
      <c r="Q14" s="88"/>
      <c r="R14" s="88">
        <f t="shared" si="2"/>
        <v>0</v>
      </c>
    </row>
    <row r="15" spans="1:18" s="26" customFormat="1" ht="75" x14ac:dyDescent="0.25">
      <c r="A15" s="87" t="s">
        <v>169</v>
      </c>
      <c r="B15" s="57"/>
      <c r="C15" s="88" t="s">
        <v>378</v>
      </c>
      <c r="D15" s="88" t="s">
        <v>379</v>
      </c>
      <c r="E15" s="88"/>
      <c r="F15" s="16" t="s">
        <v>380</v>
      </c>
      <c r="G15" s="16">
        <v>0</v>
      </c>
      <c r="H15" s="16">
        <v>0</v>
      </c>
      <c r="I15" s="16">
        <f t="shared" si="0"/>
        <v>0</v>
      </c>
      <c r="J15" s="16">
        <v>0</v>
      </c>
      <c r="K15" s="16">
        <v>0</v>
      </c>
      <c r="L15" s="16">
        <f>+K15*J15</f>
        <v>0</v>
      </c>
      <c r="M15" s="16" t="s">
        <v>361</v>
      </c>
      <c r="N15" s="16">
        <v>0</v>
      </c>
      <c r="O15" s="88">
        <v>0</v>
      </c>
      <c r="P15" s="88">
        <v>0</v>
      </c>
      <c r="Q15" s="88">
        <f>+O15*P15</f>
        <v>0</v>
      </c>
      <c r="R15" s="88">
        <f t="shared" si="2"/>
        <v>0</v>
      </c>
    </row>
    <row r="16" spans="1:18" s="26" customFormat="1" x14ac:dyDescent="0.25">
      <c r="A16" s="87"/>
      <c r="B16" s="16"/>
      <c r="C16" s="16"/>
      <c r="D16" s="16"/>
      <c r="E16" s="16"/>
      <c r="F16" s="16"/>
      <c r="G16" s="16"/>
      <c r="H16" s="16"/>
      <c r="I16" s="92">
        <f>SUM(I6:I15)</f>
        <v>16000000</v>
      </c>
      <c r="J16" s="16"/>
      <c r="K16" s="16"/>
      <c r="L16" s="92">
        <f>SUM(L6:L15)</f>
        <v>0</v>
      </c>
      <c r="M16" s="16"/>
      <c r="N16" s="16"/>
      <c r="O16" s="88"/>
      <c r="P16" s="88"/>
      <c r="Q16" s="92">
        <f>SUM(Q6:Q15)</f>
        <v>50700000</v>
      </c>
      <c r="R16" s="92">
        <f>SUM(R6:R15)</f>
        <v>66700000</v>
      </c>
    </row>
    <row r="17" spans="2:18" s="94" customFormat="1" x14ac:dyDescent="0.25">
      <c r="B17" s="93"/>
      <c r="O17" s="95"/>
      <c r="P17" s="95"/>
      <c r="Q17" s="95"/>
      <c r="R17" s="95"/>
    </row>
    <row r="18" spans="2:18" s="94" customFormat="1" x14ac:dyDescent="0.25">
      <c r="B18" s="93"/>
      <c r="O18" s="95"/>
      <c r="P18" s="95"/>
      <c r="Q18" s="95"/>
      <c r="R18" s="95"/>
    </row>
    <row r="19" spans="2:18" s="94" customFormat="1" x14ac:dyDescent="0.25">
      <c r="B19" s="93"/>
      <c r="O19" s="95"/>
      <c r="P19" s="95"/>
      <c r="Q19" s="95"/>
      <c r="R19" s="95"/>
    </row>
    <row r="20" spans="2:18" s="94" customFormat="1" x14ac:dyDescent="0.25">
      <c r="B20" s="93"/>
      <c r="O20" s="95"/>
      <c r="P20" s="95"/>
      <c r="Q20" s="95"/>
      <c r="R20" s="95"/>
    </row>
    <row r="21" spans="2:18" s="94" customFormat="1" x14ac:dyDescent="0.25">
      <c r="B21" s="93"/>
      <c r="O21" s="95"/>
      <c r="P21" s="95"/>
      <c r="Q21" s="95"/>
      <c r="R21" s="95"/>
    </row>
    <row r="22" spans="2:18" s="94" customFormat="1" x14ac:dyDescent="0.25">
      <c r="B22" s="93"/>
      <c r="O22" s="95"/>
      <c r="P22" s="95"/>
      <c r="Q22" s="95"/>
      <c r="R22" s="95"/>
    </row>
    <row r="23" spans="2:18" s="94" customFormat="1" x14ac:dyDescent="0.25">
      <c r="B23" s="93"/>
      <c r="O23" s="95"/>
      <c r="P23" s="95"/>
      <c r="Q23" s="95"/>
      <c r="R23" s="95"/>
    </row>
    <row r="24" spans="2:18" s="94" customFormat="1" x14ac:dyDescent="0.25">
      <c r="B24" s="93"/>
      <c r="O24" s="95"/>
      <c r="P24" s="95"/>
      <c r="Q24" s="95"/>
      <c r="R24" s="95"/>
    </row>
    <row r="25" spans="2:18" s="94" customFormat="1" x14ac:dyDescent="0.25">
      <c r="B25" s="93"/>
      <c r="O25" s="95"/>
      <c r="P25" s="95"/>
      <c r="Q25" s="95"/>
      <c r="R25" s="95"/>
    </row>
    <row r="26" spans="2:18" s="94" customFormat="1" x14ac:dyDescent="0.25">
      <c r="B26" s="93"/>
      <c r="O26" s="95"/>
      <c r="P26" s="95"/>
      <c r="Q26" s="95"/>
      <c r="R26" s="95"/>
    </row>
    <row r="27" spans="2:18" s="94" customFormat="1" x14ac:dyDescent="0.25">
      <c r="B27" s="93"/>
      <c r="O27" s="95"/>
      <c r="P27" s="95"/>
      <c r="Q27" s="95"/>
      <c r="R27" s="95"/>
    </row>
    <row r="28" spans="2:18" s="94" customFormat="1" x14ac:dyDescent="0.25">
      <c r="B28" s="93"/>
      <c r="O28" s="95"/>
      <c r="P28" s="95"/>
      <c r="Q28" s="95"/>
      <c r="R28" s="95"/>
    </row>
    <row r="29" spans="2:18" s="94" customFormat="1" x14ac:dyDescent="0.25">
      <c r="B29" s="93"/>
      <c r="O29" s="95"/>
      <c r="P29" s="95"/>
      <c r="Q29" s="95"/>
      <c r="R29" s="95"/>
    </row>
    <row r="30" spans="2:18" s="94" customFormat="1" x14ac:dyDescent="0.25">
      <c r="B30" s="93"/>
      <c r="O30" s="95"/>
      <c r="P30" s="95"/>
      <c r="Q30" s="95"/>
      <c r="R30" s="95"/>
    </row>
    <row r="31" spans="2:18" s="94" customFormat="1" x14ac:dyDescent="0.25">
      <c r="B31" s="93"/>
      <c r="O31" s="95"/>
      <c r="P31" s="95"/>
      <c r="Q31" s="95"/>
      <c r="R31" s="95"/>
    </row>
    <row r="32" spans="2:18" s="94" customFormat="1" x14ac:dyDescent="0.25">
      <c r="B32" s="93"/>
      <c r="O32" s="95"/>
      <c r="P32" s="95"/>
      <c r="Q32" s="95"/>
      <c r="R32" s="95"/>
    </row>
    <row r="33" spans="2:18" s="94" customFormat="1" x14ac:dyDescent="0.25">
      <c r="B33" s="93"/>
      <c r="O33" s="95"/>
      <c r="P33" s="95"/>
      <c r="Q33" s="95"/>
      <c r="R33" s="95"/>
    </row>
    <row r="34" spans="2:18" s="94" customFormat="1" x14ac:dyDescent="0.25">
      <c r="B34" s="93"/>
      <c r="O34" s="95"/>
      <c r="P34" s="95"/>
      <c r="Q34" s="95"/>
      <c r="R34" s="95"/>
    </row>
    <row r="35" spans="2:18" s="94" customFormat="1" x14ac:dyDescent="0.25">
      <c r="B35" s="93"/>
      <c r="O35" s="95"/>
      <c r="P35" s="95"/>
      <c r="Q35" s="95"/>
      <c r="R35" s="95"/>
    </row>
    <row r="36" spans="2:18" s="94" customFormat="1" x14ac:dyDescent="0.25">
      <c r="B36" s="93"/>
      <c r="O36" s="95"/>
      <c r="P36" s="95"/>
      <c r="Q36" s="95"/>
      <c r="R36" s="95"/>
    </row>
    <row r="37" spans="2:18" s="94" customFormat="1" x14ac:dyDescent="0.25">
      <c r="B37" s="93"/>
      <c r="O37" s="95"/>
      <c r="P37" s="95"/>
      <c r="Q37" s="95"/>
      <c r="R37" s="95"/>
    </row>
    <row r="38" spans="2:18" s="94" customFormat="1" x14ac:dyDescent="0.25">
      <c r="B38" s="93"/>
      <c r="O38" s="95"/>
      <c r="P38" s="95"/>
      <c r="Q38" s="95"/>
      <c r="R38" s="95"/>
    </row>
    <row r="39" spans="2:18" s="94" customFormat="1" x14ac:dyDescent="0.25">
      <c r="B39" s="93"/>
      <c r="O39" s="95"/>
      <c r="P39" s="95"/>
      <c r="Q39" s="95"/>
      <c r="R39" s="95"/>
    </row>
    <row r="40" spans="2:18" s="94" customFormat="1" x14ac:dyDescent="0.25">
      <c r="B40" s="93"/>
      <c r="O40" s="95"/>
      <c r="P40" s="95"/>
      <c r="Q40" s="95"/>
      <c r="R40" s="95"/>
    </row>
    <row r="41" spans="2:18" s="94" customFormat="1" x14ac:dyDescent="0.25">
      <c r="B41" s="93"/>
      <c r="O41" s="95"/>
      <c r="P41" s="95"/>
      <c r="Q41" s="95"/>
      <c r="R41" s="95"/>
    </row>
    <row r="42" spans="2:18" s="94" customFormat="1" x14ac:dyDescent="0.25">
      <c r="B42" s="93"/>
      <c r="O42" s="95"/>
      <c r="P42" s="95"/>
      <c r="Q42" s="95"/>
      <c r="R42" s="95"/>
    </row>
    <row r="43" spans="2:18" s="94" customFormat="1" x14ac:dyDescent="0.25">
      <c r="B43" s="93"/>
      <c r="O43" s="95"/>
      <c r="P43" s="95"/>
      <c r="Q43" s="95"/>
      <c r="R43" s="95"/>
    </row>
    <row r="44" spans="2:18" s="94" customFormat="1" x14ac:dyDescent="0.25">
      <c r="B44" s="93"/>
      <c r="O44" s="95"/>
      <c r="P44" s="95"/>
      <c r="Q44" s="95"/>
      <c r="R44" s="95"/>
    </row>
    <row r="45" spans="2:18" s="94" customFormat="1" x14ac:dyDescent="0.25">
      <c r="B45" s="93"/>
      <c r="O45" s="95"/>
      <c r="P45" s="95"/>
      <c r="Q45" s="95"/>
      <c r="R45" s="95"/>
    </row>
    <row r="46" spans="2:18" s="94" customFormat="1" x14ac:dyDescent="0.25">
      <c r="B46" s="93"/>
      <c r="O46" s="95"/>
      <c r="P46" s="95"/>
      <c r="Q46" s="95"/>
      <c r="R46" s="95"/>
    </row>
    <row r="47" spans="2:18" s="94" customFormat="1" x14ac:dyDescent="0.25">
      <c r="B47" s="93"/>
      <c r="O47" s="95"/>
      <c r="P47" s="95"/>
      <c r="Q47" s="95"/>
      <c r="R47" s="95"/>
    </row>
    <row r="48" spans="2:18" s="94" customFormat="1" x14ac:dyDescent="0.25">
      <c r="B48" s="93"/>
      <c r="O48" s="95"/>
      <c r="P48" s="95"/>
      <c r="Q48" s="95"/>
      <c r="R48" s="95"/>
    </row>
    <row r="49" spans="2:18" s="94" customFormat="1" x14ac:dyDescent="0.25">
      <c r="B49" s="93"/>
      <c r="O49" s="95"/>
      <c r="P49" s="95"/>
      <c r="Q49" s="95"/>
      <c r="R49" s="95"/>
    </row>
    <row r="50" spans="2:18" s="94" customFormat="1" x14ac:dyDescent="0.25">
      <c r="B50" s="93"/>
      <c r="O50" s="95"/>
      <c r="P50" s="95"/>
      <c r="Q50" s="95"/>
      <c r="R50" s="95"/>
    </row>
    <row r="51" spans="2:18" s="94" customFormat="1" x14ac:dyDescent="0.25">
      <c r="B51" s="93"/>
      <c r="O51" s="95"/>
      <c r="P51" s="95"/>
      <c r="Q51" s="95"/>
      <c r="R51" s="95"/>
    </row>
    <row r="52" spans="2:18" s="94" customFormat="1" x14ac:dyDescent="0.25">
      <c r="B52" s="93"/>
      <c r="O52" s="95"/>
      <c r="P52" s="95"/>
      <c r="Q52" s="95"/>
      <c r="R52" s="95"/>
    </row>
    <row r="53" spans="2:18" s="94" customFormat="1" x14ac:dyDescent="0.25">
      <c r="B53" s="93"/>
      <c r="O53" s="95"/>
      <c r="P53" s="95"/>
      <c r="Q53" s="95"/>
      <c r="R53" s="95"/>
    </row>
    <row r="54" spans="2:18" s="94" customFormat="1" x14ac:dyDescent="0.25">
      <c r="B54" s="93"/>
      <c r="O54" s="95"/>
      <c r="P54" s="95"/>
      <c r="Q54" s="95"/>
      <c r="R54" s="95"/>
    </row>
    <row r="55" spans="2:18" s="94" customFormat="1" x14ac:dyDescent="0.25">
      <c r="B55" s="93"/>
      <c r="O55" s="95"/>
      <c r="P55" s="95"/>
      <c r="Q55" s="95"/>
      <c r="R55" s="95"/>
    </row>
    <row r="56" spans="2:18" s="94" customFormat="1" x14ac:dyDescent="0.25">
      <c r="B56" s="93"/>
      <c r="O56" s="95"/>
      <c r="P56" s="95"/>
      <c r="Q56" s="95"/>
      <c r="R56" s="95"/>
    </row>
    <row r="57" spans="2:18" s="94" customFormat="1" x14ac:dyDescent="0.25">
      <c r="B57" s="93"/>
      <c r="O57" s="95"/>
      <c r="P57" s="95"/>
      <c r="Q57" s="95"/>
      <c r="R57" s="95"/>
    </row>
    <row r="58" spans="2:18" s="94" customFormat="1" x14ac:dyDescent="0.25">
      <c r="B58" s="93"/>
      <c r="O58" s="95"/>
      <c r="P58" s="95"/>
      <c r="Q58" s="95"/>
      <c r="R58" s="95"/>
    </row>
    <row r="59" spans="2:18" s="94" customFormat="1" x14ac:dyDescent="0.25">
      <c r="B59" s="93"/>
      <c r="O59" s="95"/>
      <c r="P59" s="95"/>
      <c r="Q59" s="95"/>
      <c r="R59" s="95"/>
    </row>
    <row r="60" spans="2:18" s="94" customFormat="1" x14ac:dyDescent="0.25">
      <c r="B60" s="93"/>
      <c r="O60" s="95"/>
      <c r="P60" s="95"/>
      <c r="Q60" s="95"/>
      <c r="R60" s="95"/>
    </row>
    <row r="61" spans="2:18" s="94" customFormat="1" x14ac:dyDescent="0.25">
      <c r="B61" s="93"/>
      <c r="O61" s="95"/>
      <c r="P61" s="95"/>
      <c r="Q61" s="95"/>
      <c r="R61" s="95"/>
    </row>
    <row r="62" spans="2:18" s="94" customFormat="1" x14ac:dyDescent="0.25">
      <c r="B62" s="93"/>
      <c r="O62" s="95"/>
      <c r="P62" s="95"/>
      <c r="Q62" s="95"/>
      <c r="R62" s="95"/>
    </row>
    <row r="63" spans="2:18" s="94" customFormat="1" x14ac:dyDescent="0.25">
      <c r="B63" s="93"/>
      <c r="O63" s="95"/>
      <c r="P63" s="95"/>
      <c r="Q63" s="95"/>
      <c r="R63" s="95"/>
    </row>
    <row r="64" spans="2:18" s="94" customFormat="1" x14ac:dyDescent="0.25">
      <c r="B64" s="93"/>
      <c r="O64" s="95"/>
      <c r="P64" s="95"/>
      <c r="Q64" s="95"/>
      <c r="R64" s="95"/>
    </row>
    <row r="65" spans="2:18" s="94" customFormat="1" x14ac:dyDescent="0.25">
      <c r="B65" s="93"/>
      <c r="O65" s="95"/>
      <c r="P65" s="95"/>
      <c r="Q65" s="95"/>
      <c r="R65" s="95"/>
    </row>
    <row r="66" spans="2:18" s="94" customFormat="1" x14ac:dyDescent="0.25">
      <c r="B66" s="93"/>
      <c r="O66" s="95"/>
      <c r="P66" s="95"/>
      <c r="Q66" s="95"/>
      <c r="R66" s="95"/>
    </row>
    <row r="67" spans="2:18" s="94" customFormat="1" x14ac:dyDescent="0.25">
      <c r="B67" s="93"/>
      <c r="O67" s="95"/>
      <c r="P67" s="95"/>
      <c r="Q67" s="95"/>
      <c r="R67" s="95"/>
    </row>
    <row r="68" spans="2:18" s="94" customFormat="1" x14ac:dyDescent="0.25">
      <c r="B68" s="93"/>
      <c r="O68" s="95"/>
      <c r="P68" s="95"/>
      <c r="Q68" s="95"/>
      <c r="R68" s="95"/>
    </row>
    <row r="69" spans="2:18" s="94" customFormat="1" x14ac:dyDescent="0.25">
      <c r="B69" s="93"/>
      <c r="O69" s="95"/>
      <c r="P69" s="95"/>
      <c r="Q69" s="95"/>
      <c r="R69" s="95"/>
    </row>
    <row r="70" spans="2:18" s="94" customFormat="1" x14ac:dyDescent="0.25">
      <c r="B70" s="93"/>
      <c r="O70" s="95"/>
      <c r="P70" s="95"/>
      <c r="Q70" s="95"/>
      <c r="R70" s="95"/>
    </row>
    <row r="71" spans="2:18" s="94" customFormat="1" x14ac:dyDescent="0.25">
      <c r="B71" s="93"/>
      <c r="O71" s="95"/>
      <c r="P71" s="95"/>
      <c r="Q71" s="95"/>
      <c r="R71" s="95"/>
    </row>
    <row r="72" spans="2:18" s="94" customFormat="1" x14ac:dyDescent="0.25">
      <c r="B72" s="93"/>
      <c r="O72" s="95"/>
      <c r="P72" s="95"/>
      <c r="Q72" s="95"/>
      <c r="R72" s="95"/>
    </row>
    <row r="73" spans="2:18" s="94" customFormat="1" x14ac:dyDescent="0.25">
      <c r="B73" s="93"/>
      <c r="O73" s="95"/>
      <c r="P73" s="95"/>
      <c r="Q73" s="95"/>
      <c r="R73" s="95"/>
    </row>
    <row r="74" spans="2:18" s="94" customFormat="1" x14ac:dyDescent="0.25">
      <c r="B74" s="93"/>
      <c r="O74" s="95"/>
      <c r="P74" s="95"/>
      <c r="Q74" s="95"/>
      <c r="R74" s="95"/>
    </row>
    <row r="75" spans="2:18" s="94" customFormat="1" x14ac:dyDescent="0.25">
      <c r="B75" s="93"/>
      <c r="O75" s="95"/>
      <c r="P75" s="95"/>
      <c r="Q75" s="95"/>
      <c r="R75" s="95"/>
    </row>
    <row r="76" spans="2:18" s="94" customFormat="1" x14ac:dyDescent="0.25">
      <c r="B76" s="93"/>
      <c r="O76" s="95"/>
      <c r="P76" s="95"/>
      <c r="Q76" s="95"/>
      <c r="R76" s="95"/>
    </row>
    <row r="77" spans="2:18" s="94" customFormat="1" x14ac:dyDescent="0.25">
      <c r="B77" s="93"/>
      <c r="O77" s="95"/>
      <c r="P77" s="95"/>
      <c r="Q77" s="95"/>
      <c r="R77" s="95"/>
    </row>
    <row r="78" spans="2:18" s="94" customFormat="1" x14ac:dyDescent="0.25">
      <c r="B78" s="93"/>
      <c r="O78" s="95"/>
      <c r="P78" s="95"/>
      <c r="Q78" s="95"/>
      <c r="R78" s="95"/>
    </row>
    <row r="79" spans="2:18" s="94" customFormat="1" x14ac:dyDescent="0.25">
      <c r="B79" s="93"/>
      <c r="O79" s="95"/>
      <c r="P79" s="95"/>
      <c r="Q79" s="95"/>
      <c r="R79" s="95"/>
    </row>
    <row r="80" spans="2:18" s="94" customFormat="1" x14ac:dyDescent="0.25">
      <c r="B80" s="93"/>
      <c r="O80" s="95"/>
      <c r="P80" s="95"/>
      <c r="Q80" s="95"/>
      <c r="R80" s="95"/>
    </row>
    <row r="81" spans="2:18" s="94" customFormat="1" x14ac:dyDescent="0.25">
      <c r="B81" s="93"/>
      <c r="O81" s="95"/>
      <c r="P81" s="95"/>
      <c r="Q81" s="95"/>
      <c r="R81" s="95"/>
    </row>
    <row r="82" spans="2:18" s="94" customFormat="1" x14ac:dyDescent="0.25">
      <c r="B82" s="93"/>
      <c r="O82" s="95"/>
      <c r="P82" s="95"/>
      <c r="Q82" s="95"/>
      <c r="R82" s="95"/>
    </row>
    <row r="83" spans="2:18" s="94" customFormat="1" x14ac:dyDescent="0.25">
      <c r="B83" s="93"/>
      <c r="O83" s="95"/>
      <c r="P83" s="95"/>
      <c r="Q83" s="95"/>
      <c r="R83" s="95"/>
    </row>
    <row r="84" spans="2:18" s="94" customFormat="1" x14ac:dyDescent="0.25">
      <c r="B84" s="93"/>
      <c r="O84" s="95"/>
      <c r="P84" s="95"/>
      <c r="Q84" s="95"/>
      <c r="R84" s="95"/>
    </row>
    <row r="85" spans="2:18" s="94" customFormat="1" x14ac:dyDescent="0.25">
      <c r="B85" s="93"/>
      <c r="O85" s="95"/>
      <c r="P85" s="95"/>
      <c r="Q85" s="95"/>
      <c r="R85" s="95"/>
    </row>
    <row r="86" spans="2:18" s="94" customFormat="1" x14ac:dyDescent="0.25">
      <c r="B86" s="93"/>
      <c r="O86" s="95"/>
      <c r="P86" s="95"/>
      <c r="Q86" s="95"/>
      <c r="R86" s="95"/>
    </row>
    <row r="87" spans="2:18" s="94" customFormat="1" x14ac:dyDescent="0.25">
      <c r="B87" s="93"/>
      <c r="O87" s="95"/>
      <c r="P87" s="95"/>
      <c r="Q87" s="95"/>
      <c r="R87" s="95"/>
    </row>
    <row r="88" spans="2:18" s="94" customFormat="1" x14ac:dyDescent="0.25">
      <c r="B88" s="93"/>
      <c r="O88" s="95"/>
      <c r="P88" s="95"/>
      <c r="Q88" s="95"/>
      <c r="R88" s="95"/>
    </row>
    <row r="89" spans="2:18" s="94" customFormat="1" x14ac:dyDescent="0.25">
      <c r="B89" s="93"/>
      <c r="O89" s="95"/>
      <c r="P89" s="95"/>
      <c r="Q89" s="95"/>
      <c r="R89" s="95"/>
    </row>
    <row r="90" spans="2:18" s="94" customFormat="1" x14ac:dyDescent="0.25">
      <c r="B90" s="93"/>
      <c r="O90" s="95"/>
      <c r="P90" s="95"/>
      <c r="Q90" s="95"/>
      <c r="R90" s="95"/>
    </row>
    <row r="91" spans="2:18" s="94" customFormat="1" x14ac:dyDescent="0.25">
      <c r="B91" s="93"/>
      <c r="O91" s="95"/>
      <c r="P91" s="95"/>
      <c r="Q91" s="95"/>
      <c r="R91" s="95"/>
    </row>
    <row r="92" spans="2:18" s="94" customFormat="1" x14ac:dyDescent="0.25">
      <c r="B92" s="93"/>
      <c r="O92" s="95"/>
      <c r="P92" s="95"/>
      <c r="Q92" s="95"/>
      <c r="R92" s="95"/>
    </row>
    <row r="93" spans="2:18" s="94" customFormat="1" x14ac:dyDescent="0.25">
      <c r="B93" s="93"/>
      <c r="O93" s="95"/>
      <c r="P93" s="95"/>
      <c r="Q93" s="95"/>
      <c r="R93" s="95"/>
    </row>
    <row r="94" spans="2:18" s="94" customFormat="1" x14ac:dyDescent="0.25">
      <c r="B94" s="93"/>
      <c r="O94" s="95"/>
      <c r="P94" s="95"/>
      <c r="Q94" s="95"/>
      <c r="R94" s="95"/>
    </row>
    <row r="95" spans="2:18" s="94" customFormat="1" x14ac:dyDescent="0.25">
      <c r="B95" s="93"/>
      <c r="O95" s="95"/>
      <c r="P95" s="95"/>
      <c r="Q95" s="95"/>
      <c r="R95" s="95"/>
    </row>
    <row r="96" spans="2:18" s="94" customFormat="1" x14ac:dyDescent="0.25">
      <c r="B96" s="93"/>
      <c r="O96" s="95"/>
      <c r="P96" s="95"/>
      <c r="Q96" s="95"/>
      <c r="R96" s="95"/>
    </row>
    <row r="97" spans="2:18" s="94" customFormat="1" x14ac:dyDescent="0.25">
      <c r="B97" s="93"/>
      <c r="O97" s="95"/>
      <c r="P97" s="95"/>
      <c r="Q97" s="95"/>
      <c r="R97" s="95"/>
    </row>
    <row r="98" spans="2:18" s="94" customFormat="1" x14ac:dyDescent="0.25">
      <c r="B98" s="93"/>
      <c r="O98" s="95"/>
      <c r="P98" s="95"/>
      <c r="Q98" s="95"/>
      <c r="R98" s="95"/>
    </row>
    <row r="99" spans="2:18" s="94" customFormat="1" x14ac:dyDescent="0.25">
      <c r="B99" s="93"/>
      <c r="O99" s="95"/>
      <c r="P99" s="95"/>
      <c r="Q99" s="95"/>
      <c r="R99" s="95"/>
    </row>
    <row r="100" spans="2:18" s="94" customFormat="1" x14ac:dyDescent="0.25">
      <c r="B100" s="93"/>
      <c r="O100" s="95"/>
      <c r="P100" s="95"/>
      <c r="Q100" s="95"/>
      <c r="R100" s="95"/>
    </row>
    <row r="101" spans="2:18" s="94" customFormat="1" x14ac:dyDescent="0.25">
      <c r="B101" s="93"/>
      <c r="O101" s="95"/>
      <c r="P101" s="95"/>
      <c r="Q101" s="95"/>
      <c r="R101" s="95"/>
    </row>
    <row r="102" spans="2:18" s="94" customFormat="1" x14ac:dyDescent="0.25">
      <c r="B102" s="93"/>
      <c r="O102" s="95"/>
      <c r="P102" s="95"/>
      <c r="Q102" s="95"/>
      <c r="R102" s="95"/>
    </row>
    <row r="103" spans="2:18" s="94" customFormat="1" x14ac:dyDescent="0.25">
      <c r="B103" s="93"/>
      <c r="O103" s="95"/>
      <c r="P103" s="95"/>
      <c r="Q103" s="95"/>
      <c r="R103" s="95"/>
    </row>
    <row r="104" spans="2:18" s="94" customFormat="1" x14ac:dyDescent="0.25">
      <c r="B104" s="93"/>
      <c r="O104" s="95"/>
      <c r="P104" s="95"/>
      <c r="Q104" s="95"/>
      <c r="R104" s="95"/>
    </row>
    <row r="105" spans="2:18" s="94" customFormat="1" x14ac:dyDescent="0.25">
      <c r="B105" s="93"/>
      <c r="O105" s="95"/>
      <c r="P105" s="95"/>
      <c r="Q105" s="95"/>
      <c r="R105" s="95"/>
    </row>
    <row r="106" spans="2:18" s="94" customFormat="1" x14ac:dyDescent="0.25">
      <c r="B106" s="93"/>
      <c r="O106" s="95"/>
      <c r="P106" s="95"/>
      <c r="Q106" s="95"/>
      <c r="R106" s="95"/>
    </row>
    <row r="107" spans="2:18" s="94" customFormat="1" x14ac:dyDescent="0.25">
      <c r="B107" s="93"/>
      <c r="O107" s="95"/>
      <c r="P107" s="95"/>
      <c r="Q107" s="95"/>
      <c r="R107" s="95"/>
    </row>
    <row r="108" spans="2:18" s="94" customFormat="1" x14ac:dyDescent="0.25">
      <c r="B108" s="93"/>
      <c r="O108" s="95"/>
      <c r="P108" s="95"/>
      <c r="Q108" s="95"/>
      <c r="R108" s="95"/>
    </row>
    <row r="109" spans="2:18" s="94" customFormat="1" x14ac:dyDescent="0.25">
      <c r="B109" s="93"/>
      <c r="O109" s="95"/>
      <c r="P109" s="95"/>
      <c r="Q109" s="95"/>
      <c r="R109" s="95"/>
    </row>
    <row r="110" spans="2:18" s="94" customFormat="1" x14ac:dyDescent="0.25">
      <c r="B110" s="93"/>
      <c r="O110" s="95"/>
      <c r="P110" s="95"/>
      <c r="Q110" s="95"/>
      <c r="R110" s="95"/>
    </row>
    <row r="111" spans="2:18" s="94" customFormat="1" x14ac:dyDescent="0.25">
      <c r="B111" s="93"/>
      <c r="O111" s="95"/>
      <c r="P111" s="95"/>
      <c r="Q111" s="95"/>
      <c r="R111" s="95"/>
    </row>
    <row r="112" spans="2:18" s="94" customFormat="1" x14ac:dyDescent="0.25">
      <c r="B112" s="93"/>
      <c r="O112" s="95"/>
      <c r="P112" s="95"/>
      <c r="Q112" s="95"/>
      <c r="R112" s="95"/>
    </row>
    <row r="113" spans="2:18" s="94" customFormat="1" x14ac:dyDescent="0.25">
      <c r="B113" s="93"/>
      <c r="O113" s="95"/>
      <c r="P113" s="95"/>
      <c r="Q113" s="95"/>
      <c r="R113" s="95"/>
    </row>
    <row r="114" spans="2:18" s="94" customFormat="1" x14ac:dyDescent="0.25">
      <c r="B114" s="93"/>
      <c r="O114" s="95"/>
      <c r="P114" s="95"/>
      <c r="Q114" s="95"/>
      <c r="R114" s="95"/>
    </row>
    <row r="115" spans="2:18" s="94" customFormat="1" x14ac:dyDescent="0.25">
      <c r="B115" s="93"/>
      <c r="O115" s="95"/>
      <c r="P115" s="95"/>
      <c r="Q115" s="95"/>
      <c r="R115" s="95"/>
    </row>
    <row r="116" spans="2:18" s="94" customFormat="1" x14ac:dyDescent="0.25">
      <c r="B116" s="93"/>
      <c r="O116" s="95"/>
      <c r="P116" s="95"/>
      <c r="Q116" s="95"/>
      <c r="R116" s="95"/>
    </row>
    <row r="117" spans="2:18" s="94" customFormat="1" x14ac:dyDescent="0.25">
      <c r="B117" s="93"/>
      <c r="O117" s="95"/>
      <c r="P117" s="95"/>
      <c r="Q117" s="95"/>
      <c r="R117" s="95"/>
    </row>
    <row r="118" spans="2:18" s="94" customFormat="1" x14ac:dyDescent="0.25">
      <c r="B118" s="93"/>
      <c r="O118" s="95"/>
      <c r="P118" s="95"/>
      <c r="Q118" s="95"/>
      <c r="R118" s="95"/>
    </row>
    <row r="119" spans="2:18" s="94" customFormat="1" x14ac:dyDescent="0.25">
      <c r="B119" s="93"/>
      <c r="O119" s="95"/>
      <c r="P119" s="95"/>
      <c r="Q119" s="95"/>
      <c r="R119" s="95"/>
    </row>
    <row r="120" spans="2:18" s="94" customFormat="1" x14ac:dyDescent="0.25">
      <c r="B120" s="93"/>
      <c r="O120" s="95"/>
      <c r="P120" s="95"/>
      <c r="Q120" s="95"/>
      <c r="R120" s="95"/>
    </row>
    <row r="121" spans="2:18" s="94" customFormat="1" x14ac:dyDescent="0.25">
      <c r="B121" s="93"/>
      <c r="O121" s="95"/>
      <c r="P121" s="95"/>
      <c r="Q121" s="95"/>
      <c r="R121" s="95"/>
    </row>
    <row r="122" spans="2:18" s="94" customFormat="1" x14ac:dyDescent="0.25">
      <c r="B122" s="93"/>
      <c r="O122" s="95"/>
      <c r="P122" s="95"/>
      <c r="Q122" s="95"/>
      <c r="R122" s="95"/>
    </row>
    <row r="123" spans="2:18" s="94" customFormat="1" x14ac:dyDescent="0.25">
      <c r="B123" s="93"/>
      <c r="O123" s="95"/>
      <c r="P123" s="95"/>
      <c r="Q123" s="95"/>
      <c r="R123" s="95"/>
    </row>
    <row r="124" spans="2:18" s="94" customFormat="1" x14ac:dyDescent="0.25">
      <c r="B124" s="93"/>
      <c r="O124" s="95"/>
      <c r="P124" s="95"/>
      <c r="Q124" s="95"/>
      <c r="R124" s="95"/>
    </row>
    <row r="125" spans="2:18" s="94" customFormat="1" x14ac:dyDescent="0.25">
      <c r="B125" s="93"/>
      <c r="O125" s="95"/>
      <c r="P125" s="95"/>
      <c r="Q125" s="95"/>
      <c r="R125" s="95"/>
    </row>
    <row r="126" spans="2:18" s="94" customFormat="1" x14ac:dyDescent="0.25">
      <c r="B126" s="93"/>
      <c r="O126" s="95"/>
      <c r="P126" s="95"/>
      <c r="Q126" s="95"/>
      <c r="R126" s="95"/>
    </row>
    <row r="127" spans="2:18" s="94" customFormat="1" x14ac:dyDescent="0.25">
      <c r="B127" s="93"/>
      <c r="O127" s="95"/>
      <c r="P127" s="95"/>
      <c r="Q127" s="95"/>
      <c r="R127" s="95"/>
    </row>
    <row r="128" spans="2:18" s="94" customFormat="1" x14ac:dyDescent="0.25">
      <c r="B128" s="93"/>
      <c r="O128" s="95"/>
      <c r="P128" s="95"/>
      <c r="Q128" s="95"/>
      <c r="R128" s="95"/>
    </row>
    <row r="129" spans="2:18" s="94" customFormat="1" x14ac:dyDescent="0.25">
      <c r="B129" s="93"/>
      <c r="O129" s="95"/>
      <c r="P129" s="95"/>
      <c r="Q129" s="95"/>
      <c r="R129" s="95"/>
    </row>
    <row r="130" spans="2:18" s="94" customFormat="1" x14ac:dyDescent="0.25">
      <c r="B130" s="93"/>
      <c r="O130" s="95"/>
      <c r="P130" s="95"/>
      <c r="Q130" s="95"/>
      <c r="R130" s="95"/>
    </row>
    <row r="131" spans="2:18" s="94" customFormat="1" x14ac:dyDescent="0.25">
      <c r="B131" s="93"/>
      <c r="O131" s="95"/>
      <c r="P131" s="95"/>
      <c r="Q131" s="95"/>
      <c r="R131" s="95"/>
    </row>
    <row r="132" spans="2:18" s="94" customFormat="1" x14ac:dyDescent="0.25">
      <c r="B132" s="93"/>
      <c r="O132" s="95"/>
      <c r="P132" s="95"/>
      <c r="Q132" s="95"/>
      <c r="R132" s="95"/>
    </row>
    <row r="133" spans="2:18" s="94" customFormat="1" x14ac:dyDescent="0.25">
      <c r="B133" s="93"/>
      <c r="O133" s="95"/>
      <c r="P133" s="95"/>
      <c r="Q133" s="95"/>
      <c r="R133" s="95"/>
    </row>
    <row r="134" spans="2:18" s="94" customFormat="1" x14ac:dyDescent="0.25">
      <c r="B134" s="93"/>
      <c r="O134" s="95"/>
      <c r="P134" s="95"/>
      <c r="Q134" s="95"/>
      <c r="R134" s="95"/>
    </row>
    <row r="135" spans="2:18" s="94" customFormat="1" x14ac:dyDescent="0.25">
      <c r="B135" s="93"/>
      <c r="O135" s="95"/>
      <c r="P135" s="95"/>
      <c r="Q135" s="95"/>
      <c r="R135" s="95"/>
    </row>
    <row r="136" spans="2:18" s="94" customFormat="1" x14ac:dyDescent="0.25">
      <c r="B136" s="93"/>
      <c r="O136" s="95"/>
      <c r="P136" s="95"/>
      <c r="Q136" s="95"/>
      <c r="R136" s="95"/>
    </row>
    <row r="137" spans="2:18" s="94" customFormat="1" x14ac:dyDescent="0.25">
      <c r="B137" s="93"/>
      <c r="O137" s="95"/>
      <c r="P137" s="95"/>
      <c r="Q137" s="95"/>
      <c r="R137" s="95"/>
    </row>
    <row r="138" spans="2:18" s="94" customFormat="1" x14ac:dyDescent="0.25">
      <c r="B138" s="93"/>
      <c r="O138" s="95"/>
      <c r="P138" s="95"/>
      <c r="Q138" s="95"/>
      <c r="R138" s="95"/>
    </row>
    <row r="139" spans="2:18" s="94" customFormat="1" x14ac:dyDescent="0.25">
      <c r="B139" s="93"/>
      <c r="O139" s="95"/>
      <c r="P139" s="95"/>
      <c r="Q139" s="95"/>
      <c r="R139" s="95"/>
    </row>
    <row r="140" spans="2:18" s="94" customFormat="1" x14ac:dyDescent="0.25">
      <c r="B140" s="93"/>
      <c r="O140" s="95"/>
      <c r="P140" s="95"/>
      <c r="Q140" s="95"/>
      <c r="R140" s="95"/>
    </row>
    <row r="141" spans="2:18" s="94" customFormat="1" x14ac:dyDescent="0.25">
      <c r="B141" s="93"/>
      <c r="O141" s="95"/>
      <c r="P141" s="95"/>
      <c r="Q141" s="95"/>
      <c r="R141" s="95"/>
    </row>
    <row r="142" spans="2:18" s="94" customFormat="1" x14ac:dyDescent="0.25">
      <c r="B142" s="93"/>
      <c r="O142" s="95"/>
      <c r="P142" s="95"/>
      <c r="Q142" s="95"/>
      <c r="R142" s="95"/>
    </row>
    <row r="143" spans="2:18" s="94" customFormat="1" x14ac:dyDescent="0.25">
      <c r="B143" s="93"/>
      <c r="O143" s="95"/>
      <c r="P143" s="95"/>
      <c r="Q143" s="95"/>
      <c r="R143" s="95"/>
    </row>
    <row r="144" spans="2:18" s="94" customFormat="1" x14ac:dyDescent="0.25">
      <c r="B144" s="93"/>
      <c r="O144" s="95"/>
      <c r="P144" s="95"/>
      <c r="Q144" s="95"/>
      <c r="R144" s="95"/>
    </row>
    <row r="145" spans="2:18" s="94" customFormat="1" x14ac:dyDescent="0.25">
      <c r="B145" s="93"/>
      <c r="O145" s="95"/>
      <c r="P145" s="95"/>
      <c r="Q145" s="95"/>
      <c r="R145" s="95"/>
    </row>
    <row r="146" spans="2:18" s="94" customFormat="1" x14ac:dyDescent="0.25">
      <c r="B146" s="93"/>
      <c r="O146" s="95"/>
      <c r="P146" s="95"/>
      <c r="Q146" s="95"/>
      <c r="R146" s="95"/>
    </row>
    <row r="147" spans="2:18" s="94" customFormat="1" x14ac:dyDescent="0.25">
      <c r="B147" s="93"/>
      <c r="O147" s="95"/>
      <c r="P147" s="95"/>
      <c r="Q147" s="95"/>
      <c r="R147" s="95"/>
    </row>
    <row r="148" spans="2:18" s="94" customFormat="1" x14ac:dyDescent="0.25">
      <c r="B148" s="93"/>
      <c r="O148" s="95"/>
      <c r="P148" s="95"/>
      <c r="Q148" s="95"/>
      <c r="R148" s="95"/>
    </row>
    <row r="149" spans="2:18" s="94" customFormat="1" x14ac:dyDescent="0.25">
      <c r="B149" s="93"/>
      <c r="O149" s="95"/>
      <c r="P149" s="95"/>
      <c r="Q149" s="95"/>
      <c r="R149" s="95"/>
    </row>
    <row r="150" spans="2:18" s="94" customFormat="1" x14ac:dyDescent="0.25">
      <c r="B150" s="93"/>
      <c r="O150" s="95"/>
      <c r="P150" s="95"/>
      <c r="Q150" s="95"/>
      <c r="R150" s="95"/>
    </row>
    <row r="151" spans="2:18" s="94" customFormat="1" x14ac:dyDescent="0.25">
      <c r="B151" s="93"/>
      <c r="O151" s="95"/>
      <c r="P151" s="95"/>
      <c r="Q151" s="95"/>
      <c r="R151" s="95"/>
    </row>
    <row r="152" spans="2:18" s="94" customFormat="1" x14ac:dyDescent="0.25">
      <c r="B152" s="93"/>
      <c r="O152" s="95"/>
      <c r="P152" s="95"/>
      <c r="Q152" s="95"/>
      <c r="R152" s="95"/>
    </row>
    <row r="153" spans="2:18" s="94" customFormat="1" x14ac:dyDescent="0.25">
      <c r="B153" s="93"/>
      <c r="O153" s="95"/>
      <c r="P153" s="95"/>
      <c r="Q153" s="95"/>
      <c r="R153" s="95"/>
    </row>
    <row r="154" spans="2:18" s="94" customFormat="1" x14ac:dyDescent="0.25">
      <c r="B154" s="93"/>
      <c r="O154" s="95"/>
      <c r="P154" s="95"/>
      <c r="Q154" s="95"/>
      <c r="R154" s="95"/>
    </row>
    <row r="155" spans="2:18" s="94" customFormat="1" x14ac:dyDescent="0.25">
      <c r="B155" s="93"/>
      <c r="O155" s="95"/>
      <c r="P155" s="95"/>
      <c r="Q155" s="95"/>
      <c r="R155" s="95"/>
    </row>
    <row r="156" spans="2:18" s="94" customFormat="1" x14ac:dyDescent="0.25">
      <c r="B156" s="93"/>
      <c r="O156" s="95"/>
      <c r="P156" s="95"/>
      <c r="Q156" s="95"/>
      <c r="R156" s="95"/>
    </row>
    <row r="157" spans="2:18" s="94" customFormat="1" x14ac:dyDescent="0.25">
      <c r="B157" s="93"/>
      <c r="O157" s="95"/>
      <c r="P157" s="95"/>
      <c r="Q157" s="95"/>
      <c r="R157" s="95"/>
    </row>
    <row r="158" spans="2:18" s="94" customFormat="1" x14ac:dyDescent="0.25">
      <c r="B158" s="93"/>
      <c r="O158" s="95"/>
      <c r="P158" s="95"/>
      <c r="Q158" s="95"/>
      <c r="R158" s="95"/>
    </row>
    <row r="159" spans="2:18" s="94" customFormat="1" x14ac:dyDescent="0.25">
      <c r="B159" s="93"/>
      <c r="O159" s="95"/>
      <c r="P159" s="95"/>
      <c r="Q159" s="95"/>
      <c r="R159" s="95"/>
    </row>
    <row r="160" spans="2:18" s="94" customFormat="1" x14ac:dyDescent="0.25">
      <c r="B160" s="93"/>
      <c r="O160" s="95"/>
      <c r="P160" s="95"/>
      <c r="Q160" s="95"/>
      <c r="R160" s="95"/>
    </row>
    <row r="161" spans="2:18" s="94" customFormat="1" x14ac:dyDescent="0.25">
      <c r="B161" s="93"/>
      <c r="O161" s="95"/>
      <c r="P161" s="95"/>
      <c r="Q161" s="95"/>
      <c r="R161" s="95"/>
    </row>
    <row r="162" spans="2:18" s="94" customFormat="1" x14ac:dyDescent="0.25">
      <c r="B162" s="93"/>
      <c r="O162" s="95"/>
      <c r="P162" s="95"/>
      <c r="Q162" s="95"/>
      <c r="R162" s="95"/>
    </row>
    <row r="163" spans="2:18" s="94" customFormat="1" x14ac:dyDescent="0.25">
      <c r="B163" s="93"/>
      <c r="O163" s="95"/>
      <c r="P163" s="95"/>
      <c r="Q163" s="95"/>
      <c r="R163" s="95"/>
    </row>
    <row r="164" spans="2:18" s="94" customFormat="1" x14ac:dyDescent="0.25">
      <c r="B164" s="93"/>
      <c r="O164" s="95"/>
      <c r="P164" s="95"/>
      <c r="Q164" s="95"/>
      <c r="R164" s="95"/>
    </row>
    <row r="165" spans="2:18" s="94" customFormat="1" x14ac:dyDescent="0.25">
      <c r="B165" s="93"/>
      <c r="O165" s="95"/>
      <c r="P165" s="95"/>
      <c r="Q165" s="95"/>
      <c r="R165" s="95"/>
    </row>
    <row r="166" spans="2:18" s="94" customFormat="1" x14ac:dyDescent="0.25">
      <c r="B166" s="93"/>
      <c r="O166" s="95"/>
      <c r="P166" s="95"/>
      <c r="Q166" s="95"/>
      <c r="R166" s="95"/>
    </row>
    <row r="167" spans="2:18" s="94" customFormat="1" x14ac:dyDescent="0.25">
      <c r="B167" s="93"/>
      <c r="O167" s="95"/>
      <c r="P167" s="95"/>
      <c r="Q167" s="95"/>
      <c r="R167" s="95"/>
    </row>
    <row r="168" spans="2:18" s="94" customFormat="1" x14ac:dyDescent="0.25">
      <c r="B168" s="93"/>
      <c r="O168" s="95"/>
      <c r="P168" s="95"/>
      <c r="Q168" s="95"/>
      <c r="R168" s="95"/>
    </row>
    <row r="169" spans="2:18" s="94" customFormat="1" x14ac:dyDescent="0.25">
      <c r="B169" s="93"/>
      <c r="O169" s="95"/>
      <c r="P169" s="95"/>
      <c r="Q169" s="95"/>
      <c r="R169" s="95"/>
    </row>
    <row r="170" spans="2:18" s="94" customFormat="1" x14ac:dyDescent="0.25">
      <c r="B170" s="93"/>
      <c r="O170" s="95"/>
      <c r="P170" s="95"/>
      <c r="Q170" s="95"/>
      <c r="R170" s="95"/>
    </row>
    <row r="171" spans="2:18" s="94" customFormat="1" x14ac:dyDescent="0.25">
      <c r="B171" s="93"/>
      <c r="O171" s="95"/>
      <c r="P171" s="95"/>
      <c r="Q171" s="95"/>
      <c r="R171" s="95"/>
    </row>
    <row r="172" spans="2:18" s="94" customFormat="1" x14ac:dyDescent="0.25">
      <c r="B172" s="93"/>
      <c r="O172" s="95"/>
      <c r="P172" s="95"/>
      <c r="Q172" s="95"/>
      <c r="R172" s="95"/>
    </row>
    <row r="173" spans="2:18" s="94" customFormat="1" x14ac:dyDescent="0.25">
      <c r="B173" s="93"/>
      <c r="O173" s="95"/>
      <c r="P173" s="95"/>
      <c r="Q173" s="95"/>
      <c r="R173" s="95"/>
    </row>
    <row r="174" spans="2:18" s="94" customFormat="1" x14ac:dyDescent="0.25">
      <c r="B174" s="93"/>
      <c r="O174" s="95"/>
      <c r="P174" s="95"/>
      <c r="Q174" s="95"/>
      <c r="R174" s="95"/>
    </row>
    <row r="175" spans="2:18" s="94" customFormat="1" x14ac:dyDescent="0.25">
      <c r="B175" s="93"/>
      <c r="O175" s="95"/>
      <c r="P175" s="95"/>
      <c r="Q175" s="95"/>
      <c r="R175" s="95"/>
    </row>
    <row r="176" spans="2:18" s="94" customFormat="1" x14ac:dyDescent="0.25">
      <c r="B176" s="93"/>
      <c r="O176" s="95"/>
      <c r="P176" s="95"/>
      <c r="Q176" s="95"/>
      <c r="R176" s="95"/>
    </row>
    <row r="177" spans="2:18" s="94" customFormat="1" x14ac:dyDescent="0.25">
      <c r="B177" s="93"/>
      <c r="O177" s="95"/>
      <c r="P177" s="95"/>
      <c r="Q177" s="95"/>
      <c r="R177" s="95"/>
    </row>
    <row r="178" spans="2:18" s="94" customFormat="1" x14ac:dyDescent="0.25">
      <c r="B178" s="93"/>
      <c r="O178" s="95"/>
      <c r="P178" s="95"/>
      <c r="Q178" s="95"/>
      <c r="R178" s="95"/>
    </row>
    <row r="179" spans="2:18" s="94" customFormat="1" x14ac:dyDescent="0.25">
      <c r="B179" s="93"/>
      <c r="O179" s="95"/>
      <c r="P179" s="95"/>
      <c r="Q179" s="95"/>
      <c r="R179" s="95"/>
    </row>
    <row r="180" spans="2:18" s="94" customFormat="1" x14ac:dyDescent="0.25">
      <c r="B180" s="93"/>
      <c r="O180" s="95"/>
      <c r="P180" s="95"/>
      <c r="Q180" s="95"/>
      <c r="R180" s="95"/>
    </row>
    <row r="181" spans="2:18" s="94" customFormat="1" x14ac:dyDescent="0.25">
      <c r="B181" s="93"/>
      <c r="O181" s="95"/>
      <c r="P181" s="95"/>
      <c r="Q181" s="95"/>
      <c r="R181" s="95"/>
    </row>
    <row r="182" spans="2:18" s="94" customFormat="1" x14ac:dyDescent="0.25">
      <c r="B182" s="93"/>
      <c r="O182" s="95"/>
      <c r="P182" s="95"/>
      <c r="Q182" s="95"/>
      <c r="R182" s="95"/>
    </row>
    <row r="183" spans="2:18" s="94" customFormat="1" x14ac:dyDescent="0.25">
      <c r="B183" s="93"/>
      <c r="O183" s="95"/>
      <c r="P183" s="95"/>
      <c r="Q183" s="95"/>
      <c r="R183" s="95"/>
    </row>
    <row r="184" spans="2:18" s="94" customFormat="1" x14ac:dyDescent="0.25">
      <c r="B184" s="93"/>
      <c r="O184" s="95"/>
      <c r="P184" s="95"/>
      <c r="Q184" s="95"/>
      <c r="R184" s="95"/>
    </row>
    <row r="185" spans="2:18" s="94" customFormat="1" x14ac:dyDescent="0.25">
      <c r="B185" s="93"/>
      <c r="O185" s="95"/>
      <c r="P185" s="95"/>
      <c r="Q185" s="95"/>
      <c r="R185" s="95"/>
    </row>
    <row r="186" spans="2:18" s="94" customFormat="1" x14ac:dyDescent="0.25">
      <c r="B186" s="93"/>
      <c r="O186" s="95"/>
      <c r="P186" s="95"/>
      <c r="Q186" s="95"/>
      <c r="R186" s="95"/>
    </row>
    <row r="187" spans="2:18" s="94" customFormat="1" x14ac:dyDescent="0.25">
      <c r="B187" s="93"/>
      <c r="O187" s="95"/>
      <c r="P187" s="95"/>
      <c r="Q187" s="95"/>
      <c r="R187" s="95"/>
    </row>
    <row r="188" spans="2:18" s="94" customFormat="1" x14ac:dyDescent="0.25">
      <c r="B188" s="93"/>
      <c r="O188" s="95"/>
      <c r="P188" s="95"/>
      <c r="Q188" s="95"/>
      <c r="R188" s="95"/>
    </row>
    <row r="189" spans="2:18" s="94" customFormat="1" x14ac:dyDescent="0.25">
      <c r="B189" s="93"/>
      <c r="O189" s="95"/>
      <c r="P189" s="95"/>
      <c r="Q189" s="95"/>
      <c r="R189" s="95"/>
    </row>
    <row r="190" spans="2:18" s="94" customFormat="1" x14ac:dyDescent="0.25">
      <c r="B190" s="93"/>
      <c r="O190" s="95"/>
      <c r="P190" s="95"/>
      <c r="Q190" s="95"/>
      <c r="R190" s="95"/>
    </row>
    <row r="191" spans="2:18" s="94" customFormat="1" x14ac:dyDescent="0.25">
      <c r="B191" s="93"/>
      <c r="O191" s="95"/>
      <c r="P191" s="95"/>
      <c r="Q191" s="95"/>
      <c r="R191" s="95"/>
    </row>
    <row r="192" spans="2:18" s="94" customFormat="1" x14ac:dyDescent="0.25">
      <c r="B192" s="93"/>
      <c r="O192" s="95"/>
      <c r="P192" s="95"/>
      <c r="Q192" s="95"/>
      <c r="R192" s="95"/>
    </row>
    <row r="193" spans="2:18" s="94" customFormat="1" x14ac:dyDescent="0.25">
      <c r="B193" s="93"/>
      <c r="O193" s="95"/>
      <c r="P193" s="95"/>
      <c r="Q193" s="95"/>
      <c r="R193" s="95"/>
    </row>
    <row r="194" spans="2:18" s="94" customFormat="1" x14ac:dyDescent="0.25">
      <c r="B194" s="93"/>
      <c r="O194" s="95"/>
      <c r="P194" s="95"/>
      <c r="Q194" s="95"/>
      <c r="R194" s="95"/>
    </row>
    <row r="195" spans="2:18" s="94" customFormat="1" x14ac:dyDescent="0.25">
      <c r="B195" s="93"/>
      <c r="O195" s="95"/>
      <c r="P195" s="95"/>
      <c r="Q195" s="95"/>
      <c r="R195" s="95"/>
    </row>
    <row r="196" spans="2:18" s="94" customFormat="1" x14ac:dyDescent="0.25">
      <c r="B196" s="93"/>
      <c r="O196" s="95"/>
      <c r="P196" s="95"/>
      <c r="Q196" s="95"/>
      <c r="R196" s="95"/>
    </row>
    <row r="197" spans="2:18" s="94" customFormat="1" x14ac:dyDescent="0.25">
      <c r="B197" s="93"/>
      <c r="O197" s="95"/>
      <c r="P197" s="95"/>
      <c r="Q197" s="95"/>
      <c r="R197" s="95"/>
    </row>
    <row r="198" spans="2:18" s="94" customFormat="1" x14ac:dyDescent="0.25">
      <c r="B198" s="93"/>
      <c r="O198" s="95"/>
      <c r="P198" s="95"/>
      <c r="Q198" s="95"/>
      <c r="R198" s="95"/>
    </row>
    <row r="199" spans="2:18" s="94" customFormat="1" x14ac:dyDescent="0.25">
      <c r="B199" s="93"/>
      <c r="O199" s="95"/>
      <c r="P199" s="95"/>
      <c r="Q199" s="95"/>
      <c r="R199" s="95"/>
    </row>
    <row r="200" spans="2:18" s="94" customFormat="1" x14ac:dyDescent="0.25">
      <c r="B200" s="93"/>
      <c r="O200" s="95"/>
      <c r="P200" s="95"/>
      <c r="Q200" s="95"/>
      <c r="R200" s="95"/>
    </row>
    <row r="201" spans="2:18" s="94" customFormat="1" x14ac:dyDescent="0.25">
      <c r="B201" s="93"/>
      <c r="O201" s="95"/>
      <c r="P201" s="95"/>
      <c r="Q201" s="95"/>
      <c r="R201" s="95"/>
    </row>
    <row r="202" spans="2:18" s="94" customFormat="1" x14ac:dyDescent="0.25">
      <c r="B202" s="93"/>
      <c r="O202" s="95"/>
      <c r="P202" s="95"/>
      <c r="Q202" s="95"/>
      <c r="R202" s="95"/>
    </row>
    <row r="203" spans="2:18" s="94" customFormat="1" x14ac:dyDescent="0.25">
      <c r="B203" s="93"/>
      <c r="O203" s="95"/>
      <c r="P203" s="95"/>
      <c r="Q203" s="95"/>
      <c r="R203" s="95"/>
    </row>
    <row r="204" spans="2:18" s="94" customFormat="1" x14ac:dyDescent="0.25">
      <c r="B204" s="93"/>
      <c r="O204" s="95"/>
      <c r="P204" s="95"/>
      <c r="Q204" s="95"/>
      <c r="R204" s="95"/>
    </row>
    <row r="205" spans="2:18" s="94" customFormat="1" x14ac:dyDescent="0.25">
      <c r="B205" s="93"/>
      <c r="O205" s="95"/>
      <c r="P205" s="95"/>
      <c r="Q205" s="95"/>
      <c r="R205" s="95"/>
    </row>
    <row r="206" spans="2:18" s="94" customFormat="1" x14ac:dyDescent="0.25">
      <c r="B206" s="93"/>
      <c r="O206" s="95"/>
      <c r="P206" s="95"/>
      <c r="Q206" s="95"/>
      <c r="R206" s="95"/>
    </row>
    <row r="207" spans="2:18" s="94" customFormat="1" x14ac:dyDescent="0.25">
      <c r="B207" s="93"/>
      <c r="O207" s="95"/>
      <c r="P207" s="95"/>
      <c r="Q207" s="95"/>
      <c r="R207" s="95"/>
    </row>
    <row r="208" spans="2:18" s="94" customFormat="1" x14ac:dyDescent="0.25">
      <c r="B208" s="93"/>
      <c r="O208" s="95"/>
      <c r="P208" s="95"/>
      <c r="Q208" s="95"/>
      <c r="R208" s="95"/>
    </row>
    <row r="209" spans="2:18" s="94" customFormat="1" x14ac:dyDescent="0.25">
      <c r="B209" s="93"/>
      <c r="O209" s="95"/>
      <c r="P209" s="95"/>
      <c r="Q209" s="95"/>
      <c r="R209" s="95"/>
    </row>
    <row r="210" spans="2:18" s="94" customFormat="1" x14ac:dyDescent="0.25">
      <c r="B210" s="93"/>
      <c r="O210" s="95"/>
      <c r="P210" s="95"/>
      <c r="Q210" s="95"/>
      <c r="R210" s="95"/>
    </row>
    <row r="211" spans="2:18" s="94" customFormat="1" x14ac:dyDescent="0.25">
      <c r="B211" s="93"/>
      <c r="O211" s="95"/>
      <c r="P211" s="95"/>
      <c r="Q211" s="95"/>
      <c r="R211" s="95"/>
    </row>
    <row r="212" spans="2:18" s="94" customFormat="1" x14ac:dyDescent="0.25">
      <c r="B212" s="93"/>
      <c r="O212" s="95"/>
      <c r="P212" s="95"/>
      <c r="Q212" s="95"/>
      <c r="R212" s="95"/>
    </row>
    <row r="213" spans="2:18" s="94" customFormat="1" x14ac:dyDescent="0.25">
      <c r="B213" s="93"/>
      <c r="O213" s="95"/>
      <c r="P213" s="95"/>
      <c r="Q213" s="95"/>
      <c r="R213" s="95"/>
    </row>
    <row r="214" spans="2:18" s="94" customFormat="1" x14ac:dyDescent="0.25">
      <c r="B214" s="93"/>
      <c r="O214" s="95"/>
      <c r="P214" s="95"/>
      <c r="Q214" s="95"/>
      <c r="R214" s="95"/>
    </row>
    <row r="215" spans="2:18" s="94" customFormat="1" x14ac:dyDescent="0.25">
      <c r="B215" s="93"/>
      <c r="O215" s="95"/>
      <c r="P215" s="95"/>
      <c r="Q215" s="95"/>
      <c r="R215" s="95"/>
    </row>
    <row r="216" spans="2:18" s="94" customFormat="1" x14ac:dyDescent="0.25">
      <c r="B216" s="93"/>
      <c r="O216" s="95"/>
      <c r="P216" s="95"/>
      <c r="Q216" s="95"/>
      <c r="R216" s="95"/>
    </row>
    <row r="217" spans="2:18" s="94" customFormat="1" x14ac:dyDescent="0.25">
      <c r="B217" s="93"/>
      <c r="O217" s="95"/>
      <c r="P217" s="95"/>
      <c r="Q217" s="95"/>
      <c r="R217" s="95"/>
    </row>
    <row r="218" spans="2:18" s="94" customFormat="1" x14ac:dyDescent="0.25">
      <c r="B218" s="93"/>
      <c r="O218" s="95"/>
      <c r="P218" s="95"/>
      <c r="Q218" s="95"/>
      <c r="R218" s="95"/>
    </row>
    <row r="219" spans="2:18" s="94" customFormat="1" x14ac:dyDescent="0.25">
      <c r="B219" s="93"/>
      <c r="O219" s="95"/>
      <c r="P219" s="95"/>
      <c r="Q219" s="95"/>
      <c r="R219" s="95"/>
    </row>
    <row r="220" spans="2:18" s="94" customFormat="1" x14ac:dyDescent="0.25">
      <c r="B220" s="93"/>
      <c r="O220" s="95"/>
      <c r="P220" s="95"/>
      <c r="Q220" s="95"/>
      <c r="R220" s="95"/>
    </row>
    <row r="221" spans="2:18" s="94" customFormat="1" x14ac:dyDescent="0.25">
      <c r="B221" s="93"/>
      <c r="O221" s="95"/>
      <c r="P221" s="95"/>
      <c r="Q221" s="95"/>
      <c r="R221" s="95"/>
    </row>
    <row r="222" spans="2:18" s="94" customFormat="1" x14ac:dyDescent="0.25">
      <c r="B222" s="93"/>
      <c r="O222" s="95"/>
      <c r="P222" s="95"/>
      <c r="Q222" s="95"/>
      <c r="R222" s="95"/>
    </row>
    <row r="223" spans="2:18" s="94" customFormat="1" x14ac:dyDescent="0.25">
      <c r="B223" s="93"/>
      <c r="O223" s="95"/>
      <c r="P223" s="95"/>
      <c r="Q223" s="95"/>
      <c r="R223" s="95"/>
    </row>
    <row r="224" spans="2:18" s="94" customFormat="1" x14ac:dyDescent="0.25">
      <c r="B224" s="93"/>
      <c r="O224" s="95"/>
      <c r="P224" s="95"/>
      <c r="Q224" s="95"/>
      <c r="R224" s="95"/>
    </row>
    <row r="225" spans="2:18" s="94" customFormat="1" x14ac:dyDescent="0.25">
      <c r="B225" s="93"/>
      <c r="O225" s="95"/>
      <c r="P225" s="95"/>
      <c r="Q225" s="95"/>
      <c r="R225" s="95"/>
    </row>
    <row r="226" spans="2:18" s="94" customFormat="1" x14ac:dyDescent="0.25">
      <c r="B226" s="93"/>
      <c r="O226" s="95"/>
      <c r="P226" s="95"/>
      <c r="Q226" s="95"/>
      <c r="R226" s="95"/>
    </row>
    <row r="227" spans="2:18" s="94" customFormat="1" x14ac:dyDescent="0.25">
      <c r="B227" s="93"/>
      <c r="O227" s="95"/>
      <c r="P227" s="95"/>
      <c r="Q227" s="95"/>
      <c r="R227" s="95"/>
    </row>
    <row r="228" spans="2:18" s="94" customFormat="1" x14ac:dyDescent="0.25">
      <c r="B228" s="93"/>
      <c r="O228" s="95"/>
      <c r="P228" s="95"/>
      <c r="Q228" s="95"/>
      <c r="R228" s="95"/>
    </row>
    <row r="229" spans="2:18" s="94" customFormat="1" x14ac:dyDescent="0.25">
      <c r="B229" s="93"/>
      <c r="O229" s="95"/>
      <c r="P229" s="95"/>
      <c r="Q229" s="95"/>
      <c r="R229" s="95"/>
    </row>
    <row r="230" spans="2:18" s="94" customFormat="1" x14ac:dyDescent="0.25">
      <c r="B230" s="93"/>
      <c r="O230" s="95"/>
      <c r="P230" s="95"/>
      <c r="Q230" s="95"/>
      <c r="R230" s="95"/>
    </row>
    <row r="231" spans="2:18" s="94" customFormat="1" x14ac:dyDescent="0.25">
      <c r="B231" s="93"/>
      <c r="O231" s="95"/>
      <c r="P231" s="95"/>
      <c r="Q231" s="95"/>
      <c r="R231" s="95"/>
    </row>
    <row r="232" spans="2:18" s="94" customFormat="1" x14ac:dyDescent="0.25">
      <c r="B232" s="93"/>
      <c r="O232" s="95"/>
      <c r="P232" s="95"/>
      <c r="Q232" s="95"/>
      <c r="R232" s="95"/>
    </row>
    <row r="233" spans="2:18" s="94" customFormat="1" x14ac:dyDescent="0.25">
      <c r="B233" s="93"/>
      <c r="O233" s="95"/>
      <c r="P233" s="95"/>
      <c r="Q233" s="95"/>
      <c r="R233" s="95"/>
    </row>
    <row r="234" spans="2:18" s="94" customFormat="1" x14ac:dyDescent="0.25">
      <c r="B234" s="93"/>
      <c r="O234" s="95"/>
      <c r="P234" s="95"/>
      <c r="Q234" s="95"/>
      <c r="R234" s="95"/>
    </row>
    <row r="235" spans="2:18" s="94" customFormat="1" x14ac:dyDescent="0.25">
      <c r="B235" s="93"/>
      <c r="O235" s="95"/>
      <c r="P235" s="95"/>
      <c r="Q235" s="95"/>
      <c r="R235" s="95"/>
    </row>
    <row r="236" spans="2:18" s="94" customFormat="1" x14ac:dyDescent="0.25">
      <c r="B236" s="93"/>
      <c r="O236" s="95"/>
      <c r="P236" s="95"/>
      <c r="Q236" s="95"/>
      <c r="R236" s="95"/>
    </row>
    <row r="237" spans="2:18" s="94" customFormat="1" x14ac:dyDescent="0.25">
      <c r="B237" s="93"/>
      <c r="O237" s="95"/>
      <c r="P237" s="95"/>
      <c r="Q237" s="95"/>
      <c r="R237" s="95"/>
    </row>
    <row r="238" spans="2:18" s="94" customFormat="1" x14ac:dyDescent="0.25">
      <c r="B238" s="93"/>
      <c r="O238" s="95"/>
      <c r="P238" s="95"/>
      <c r="Q238" s="95"/>
      <c r="R238" s="95"/>
    </row>
    <row r="239" spans="2:18" s="94" customFormat="1" x14ac:dyDescent="0.25">
      <c r="B239" s="93"/>
      <c r="O239" s="95"/>
      <c r="P239" s="95"/>
      <c r="Q239" s="95"/>
      <c r="R239" s="95"/>
    </row>
    <row r="240" spans="2:18" s="94" customFormat="1" x14ac:dyDescent="0.25">
      <c r="B240" s="93"/>
      <c r="O240" s="95"/>
      <c r="P240" s="95"/>
      <c r="Q240" s="95"/>
      <c r="R240" s="95"/>
    </row>
    <row r="241" spans="2:18" s="94" customFormat="1" x14ac:dyDescent="0.25">
      <c r="B241" s="93"/>
      <c r="O241" s="95"/>
      <c r="P241" s="95"/>
      <c r="Q241" s="95"/>
      <c r="R241" s="95"/>
    </row>
    <row r="242" spans="2:18" s="94" customFormat="1" x14ac:dyDescent="0.25">
      <c r="B242" s="93"/>
      <c r="O242" s="95"/>
      <c r="P242" s="95"/>
      <c r="Q242" s="95"/>
      <c r="R242" s="95"/>
    </row>
    <row r="243" spans="2:18" s="94" customFormat="1" x14ac:dyDescent="0.25">
      <c r="B243" s="93"/>
      <c r="O243" s="95"/>
      <c r="P243" s="95"/>
      <c r="Q243" s="95"/>
      <c r="R243" s="95"/>
    </row>
    <row r="244" spans="2:18" s="94" customFormat="1" x14ac:dyDescent="0.25">
      <c r="B244" s="93"/>
      <c r="O244" s="95"/>
      <c r="P244" s="95"/>
      <c r="Q244" s="95"/>
      <c r="R244" s="95"/>
    </row>
    <row r="245" spans="2:18" s="94" customFormat="1" x14ac:dyDescent="0.25">
      <c r="B245" s="93"/>
      <c r="O245" s="95"/>
      <c r="P245" s="95"/>
      <c r="Q245" s="95"/>
      <c r="R245" s="95"/>
    </row>
    <row r="246" spans="2:18" s="94" customFormat="1" x14ac:dyDescent="0.25">
      <c r="B246" s="93"/>
      <c r="O246" s="95"/>
      <c r="P246" s="95"/>
      <c r="Q246" s="95"/>
      <c r="R246" s="95"/>
    </row>
    <row r="247" spans="2:18" s="94" customFormat="1" x14ac:dyDescent="0.25">
      <c r="B247" s="93"/>
      <c r="O247" s="95"/>
      <c r="P247" s="95"/>
      <c r="Q247" s="95"/>
      <c r="R247" s="95"/>
    </row>
    <row r="248" spans="2:18" s="94" customFormat="1" x14ac:dyDescent="0.25">
      <c r="B248" s="93"/>
      <c r="O248" s="95"/>
      <c r="P248" s="95"/>
      <c r="Q248" s="95"/>
      <c r="R248" s="95"/>
    </row>
    <row r="249" spans="2:18" s="94" customFormat="1" x14ac:dyDescent="0.25">
      <c r="B249" s="93"/>
      <c r="O249" s="95"/>
      <c r="P249" s="95"/>
      <c r="Q249" s="95"/>
      <c r="R249" s="95"/>
    </row>
    <row r="250" spans="2:18" s="94" customFormat="1" x14ac:dyDescent="0.25">
      <c r="B250" s="93"/>
      <c r="O250" s="95"/>
      <c r="P250" s="95"/>
      <c r="Q250" s="95"/>
      <c r="R250" s="95"/>
    </row>
    <row r="251" spans="2:18" s="94" customFormat="1" x14ac:dyDescent="0.25">
      <c r="B251" s="93"/>
      <c r="O251" s="95"/>
      <c r="P251" s="95"/>
      <c r="Q251" s="95"/>
      <c r="R251" s="95"/>
    </row>
    <row r="252" spans="2:18" s="94" customFormat="1" x14ac:dyDescent="0.25">
      <c r="B252" s="93"/>
      <c r="O252" s="95"/>
      <c r="P252" s="95"/>
      <c r="Q252" s="95"/>
      <c r="R252" s="95"/>
    </row>
    <row r="253" spans="2:18" s="94" customFormat="1" x14ac:dyDescent="0.25">
      <c r="B253" s="93"/>
      <c r="O253" s="95"/>
      <c r="P253" s="95"/>
      <c r="Q253" s="95"/>
      <c r="R253" s="95"/>
    </row>
    <row r="254" spans="2:18" s="94" customFormat="1" x14ac:dyDescent="0.25">
      <c r="B254" s="93"/>
      <c r="O254" s="95"/>
      <c r="P254" s="95"/>
      <c r="Q254" s="95"/>
      <c r="R254" s="95"/>
    </row>
    <row r="255" spans="2:18" s="94" customFormat="1" x14ac:dyDescent="0.25">
      <c r="B255" s="93"/>
      <c r="O255" s="95"/>
      <c r="P255" s="95"/>
      <c r="Q255" s="95"/>
      <c r="R255" s="95"/>
    </row>
    <row r="256" spans="2:18" s="94" customFormat="1" x14ac:dyDescent="0.25">
      <c r="B256" s="93"/>
      <c r="O256" s="95"/>
      <c r="P256" s="95"/>
      <c r="Q256" s="95"/>
      <c r="R256" s="95"/>
    </row>
    <row r="257" spans="2:18" s="94" customFormat="1" x14ac:dyDescent="0.25">
      <c r="B257" s="93"/>
      <c r="O257" s="95"/>
      <c r="P257" s="95"/>
      <c r="Q257" s="95"/>
      <c r="R257" s="95"/>
    </row>
    <row r="258" spans="2:18" s="94" customFormat="1" x14ac:dyDescent="0.25">
      <c r="B258" s="93"/>
      <c r="O258" s="95"/>
      <c r="P258" s="95"/>
      <c r="Q258" s="95"/>
      <c r="R258" s="95"/>
    </row>
    <row r="259" spans="2:18" s="94" customFormat="1" x14ac:dyDescent="0.25">
      <c r="B259" s="93"/>
      <c r="O259" s="95"/>
      <c r="P259" s="95"/>
      <c r="Q259" s="95"/>
      <c r="R259" s="95"/>
    </row>
    <row r="260" spans="2:18" s="94" customFormat="1" x14ac:dyDescent="0.25">
      <c r="B260" s="93"/>
      <c r="O260" s="95"/>
      <c r="P260" s="95"/>
      <c r="Q260" s="95"/>
      <c r="R260" s="95"/>
    </row>
    <row r="261" spans="2:18" s="94" customFormat="1" x14ac:dyDescent="0.25">
      <c r="B261" s="93"/>
      <c r="O261" s="95"/>
      <c r="P261" s="95"/>
      <c r="Q261" s="95"/>
      <c r="R261" s="95"/>
    </row>
    <row r="262" spans="2:18" s="94" customFormat="1" x14ac:dyDescent="0.25">
      <c r="B262" s="93"/>
      <c r="O262" s="95"/>
      <c r="P262" s="95"/>
      <c r="Q262" s="95"/>
      <c r="R262" s="95"/>
    </row>
    <row r="263" spans="2:18" s="94" customFormat="1" x14ac:dyDescent="0.25">
      <c r="B263" s="93"/>
      <c r="O263" s="95"/>
      <c r="P263" s="95"/>
      <c r="Q263" s="95"/>
      <c r="R263" s="95"/>
    </row>
    <row r="264" spans="2:18" s="94" customFormat="1" x14ac:dyDescent="0.25">
      <c r="B264" s="93"/>
      <c r="O264" s="95"/>
      <c r="P264" s="95"/>
      <c r="Q264" s="95"/>
      <c r="R264" s="95"/>
    </row>
    <row r="265" spans="2:18" s="94" customFormat="1" x14ac:dyDescent="0.25">
      <c r="B265" s="93"/>
      <c r="O265" s="95"/>
      <c r="P265" s="95"/>
      <c r="Q265" s="95"/>
      <c r="R265" s="95"/>
    </row>
    <row r="266" spans="2:18" s="94" customFormat="1" x14ac:dyDescent="0.25">
      <c r="B266" s="93"/>
      <c r="O266" s="95"/>
      <c r="P266" s="95"/>
      <c r="Q266" s="95"/>
      <c r="R266" s="95"/>
    </row>
    <row r="267" spans="2:18" s="94" customFormat="1" x14ac:dyDescent="0.25">
      <c r="B267" s="93"/>
      <c r="O267" s="95"/>
      <c r="P267" s="95"/>
      <c r="Q267" s="95"/>
      <c r="R267" s="95"/>
    </row>
    <row r="268" spans="2:18" s="94" customFormat="1" x14ac:dyDescent="0.25">
      <c r="B268" s="93"/>
      <c r="O268" s="95"/>
      <c r="P268" s="95"/>
      <c r="Q268" s="95"/>
      <c r="R268" s="95"/>
    </row>
    <row r="269" spans="2:18" s="94" customFormat="1" x14ac:dyDescent="0.25">
      <c r="B269" s="93"/>
      <c r="O269" s="95"/>
      <c r="P269" s="95"/>
      <c r="Q269" s="95"/>
      <c r="R269" s="95"/>
    </row>
    <row r="270" spans="2:18" s="94" customFormat="1" x14ac:dyDescent="0.25">
      <c r="B270" s="93"/>
      <c r="O270" s="95"/>
      <c r="P270" s="95"/>
      <c r="Q270" s="95"/>
      <c r="R270" s="95"/>
    </row>
    <row r="271" spans="2:18" s="94" customFormat="1" x14ac:dyDescent="0.25">
      <c r="B271" s="93"/>
      <c r="O271" s="95"/>
      <c r="P271" s="95"/>
      <c r="Q271" s="95"/>
      <c r="R271" s="95"/>
    </row>
    <row r="272" spans="2:18" s="94" customFormat="1" x14ac:dyDescent="0.25">
      <c r="B272" s="93"/>
      <c r="O272" s="95"/>
      <c r="P272" s="95"/>
      <c r="Q272" s="95"/>
      <c r="R272" s="95"/>
    </row>
    <row r="273" spans="2:18" s="94" customFormat="1" x14ac:dyDescent="0.25">
      <c r="B273" s="93"/>
      <c r="O273" s="95"/>
      <c r="P273" s="95"/>
      <c r="Q273" s="95"/>
      <c r="R273" s="95"/>
    </row>
    <row r="274" spans="2:18" s="94" customFormat="1" x14ac:dyDescent="0.25">
      <c r="B274" s="93"/>
      <c r="O274" s="95"/>
      <c r="P274" s="95"/>
      <c r="Q274" s="95"/>
      <c r="R274" s="95"/>
    </row>
    <row r="275" spans="2:18" s="94" customFormat="1" x14ac:dyDescent="0.25">
      <c r="B275" s="93"/>
      <c r="O275" s="95"/>
      <c r="P275" s="95"/>
      <c r="Q275" s="95"/>
      <c r="R275" s="95"/>
    </row>
    <row r="276" spans="2:18" s="94" customFormat="1" x14ac:dyDescent="0.25">
      <c r="B276" s="93"/>
      <c r="O276" s="95"/>
      <c r="P276" s="95"/>
      <c r="Q276" s="95"/>
      <c r="R276" s="95"/>
    </row>
    <row r="277" spans="2:18" s="94" customFormat="1" x14ac:dyDescent="0.25">
      <c r="B277" s="93"/>
      <c r="O277" s="95"/>
      <c r="P277" s="95"/>
      <c r="Q277" s="95"/>
      <c r="R277" s="95"/>
    </row>
    <row r="278" spans="2:18" s="94" customFormat="1" x14ac:dyDescent="0.25">
      <c r="B278" s="93"/>
      <c r="O278" s="95"/>
      <c r="P278" s="95"/>
      <c r="Q278" s="95"/>
      <c r="R278" s="95"/>
    </row>
    <row r="279" spans="2:18" s="94" customFormat="1" x14ac:dyDescent="0.25">
      <c r="B279" s="93"/>
      <c r="O279" s="95"/>
      <c r="P279" s="95"/>
      <c r="Q279" s="95"/>
      <c r="R279" s="95"/>
    </row>
    <row r="280" spans="2:18" s="94" customFormat="1" x14ac:dyDescent="0.25">
      <c r="B280" s="93"/>
      <c r="O280" s="95"/>
      <c r="P280" s="95"/>
      <c r="Q280" s="95"/>
      <c r="R280" s="95"/>
    </row>
    <row r="281" spans="2:18" s="94" customFormat="1" x14ac:dyDescent="0.25">
      <c r="B281" s="93"/>
      <c r="O281" s="95"/>
      <c r="P281" s="95"/>
      <c r="Q281" s="95"/>
      <c r="R281" s="95"/>
    </row>
    <row r="282" spans="2:18" s="94" customFormat="1" x14ac:dyDescent="0.25">
      <c r="B282" s="93"/>
      <c r="O282" s="95"/>
      <c r="P282" s="95"/>
      <c r="Q282" s="95"/>
      <c r="R282" s="95"/>
    </row>
    <row r="283" spans="2:18" s="94" customFormat="1" x14ac:dyDescent="0.25">
      <c r="B283" s="93"/>
      <c r="O283" s="95"/>
      <c r="P283" s="95"/>
      <c r="Q283" s="95"/>
      <c r="R283" s="95"/>
    </row>
    <row r="284" spans="2:18" s="94" customFormat="1" x14ac:dyDescent="0.25">
      <c r="B284" s="93"/>
      <c r="O284" s="95"/>
      <c r="P284" s="95"/>
      <c r="Q284" s="95"/>
      <c r="R284" s="95"/>
    </row>
    <row r="285" spans="2:18" s="94" customFormat="1" x14ac:dyDescent="0.25">
      <c r="B285" s="93"/>
      <c r="O285" s="95"/>
      <c r="P285" s="95"/>
      <c r="Q285" s="95"/>
      <c r="R285" s="95"/>
    </row>
    <row r="286" spans="2:18" s="94" customFormat="1" x14ac:dyDescent="0.25">
      <c r="B286" s="93"/>
      <c r="O286" s="95"/>
      <c r="P286" s="95"/>
      <c r="Q286" s="95"/>
      <c r="R286" s="95"/>
    </row>
    <row r="287" spans="2:18" s="94" customFormat="1" x14ac:dyDescent="0.25">
      <c r="B287" s="93"/>
      <c r="O287" s="95"/>
      <c r="P287" s="95"/>
      <c r="Q287" s="95"/>
      <c r="R287" s="95"/>
    </row>
    <row r="288" spans="2:18" s="94" customFormat="1" x14ac:dyDescent="0.25">
      <c r="B288" s="93"/>
      <c r="O288" s="95"/>
      <c r="P288" s="95"/>
      <c r="Q288" s="95"/>
      <c r="R288" s="95"/>
    </row>
    <row r="289" spans="2:18" s="94" customFormat="1" x14ac:dyDescent="0.25">
      <c r="B289" s="93"/>
      <c r="O289" s="95"/>
      <c r="P289" s="95"/>
      <c r="Q289" s="95"/>
      <c r="R289" s="95"/>
    </row>
    <row r="290" spans="2:18" s="94" customFormat="1" x14ac:dyDescent="0.25">
      <c r="B290" s="93"/>
      <c r="O290" s="95"/>
      <c r="P290" s="95"/>
      <c r="Q290" s="95"/>
      <c r="R290" s="95"/>
    </row>
    <row r="291" spans="2:18" s="94" customFormat="1" x14ac:dyDescent="0.25">
      <c r="B291" s="93"/>
      <c r="O291" s="95"/>
      <c r="P291" s="95"/>
      <c r="Q291" s="95"/>
      <c r="R291" s="95"/>
    </row>
    <row r="292" spans="2:18" s="94" customFormat="1" x14ac:dyDescent="0.25">
      <c r="B292" s="93"/>
      <c r="O292" s="95"/>
      <c r="P292" s="95"/>
      <c r="Q292" s="95"/>
      <c r="R292" s="95"/>
    </row>
    <row r="293" spans="2:18" s="94" customFormat="1" x14ac:dyDescent="0.25">
      <c r="B293" s="93"/>
      <c r="O293" s="95"/>
      <c r="P293" s="95"/>
      <c r="Q293" s="95"/>
      <c r="R293" s="95"/>
    </row>
    <row r="294" spans="2:18" s="94" customFormat="1" x14ac:dyDescent="0.25">
      <c r="B294" s="93"/>
      <c r="O294" s="95"/>
      <c r="P294" s="95"/>
      <c r="Q294" s="95"/>
      <c r="R294" s="95"/>
    </row>
    <row r="295" spans="2:18" s="94" customFormat="1" x14ac:dyDescent="0.25">
      <c r="B295" s="93"/>
      <c r="O295" s="95"/>
      <c r="P295" s="95"/>
      <c r="Q295" s="95"/>
      <c r="R295" s="95"/>
    </row>
    <row r="296" spans="2:18" s="94" customFormat="1" x14ac:dyDescent="0.25">
      <c r="B296" s="93"/>
      <c r="O296" s="95"/>
      <c r="P296" s="95"/>
      <c r="Q296" s="95"/>
      <c r="R296" s="95"/>
    </row>
    <row r="297" spans="2:18" s="94" customFormat="1" x14ac:dyDescent="0.25">
      <c r="B297" s="93"/>
      <c r="O297" s="95"/>
      <c r="P297" s="95"/>
      <c r="Q297" s="95"/>
      <c r="R297" s="95"/>
    </row>
    <row r="298" spans="2:18" s="94" customFormat="1" x14ac:dyDescent="0.25">
      <c r="B298" s="93"/>
      <c r="O298" s="95"/>
      <c r="P298" s="95"/>
      <c r="Q298" s="95"/>
      <c r="R298" s="95"/>
    </row>
    <row r="299" spans="2:18" s="94" customFormat="1" x14ac:dyDescent="0.25">
      <c r="B299" s="93"/>
      <c r="O299" s="95"/>
      <c r="P299" s="95"/>
      <c r="Q299" s="95"/>
      <c r="R299" s="95"/>
    </row>
    <row r="300" spans="2:18" s="94" customFormat="1" x14ac:dyDescent="0.25">
      <c r="B300" s="93"/>
      <c r="O300" s="95"/>
      <c r="P300" s="95"/>
      <c r="Q300" s="95"/>
      <c r="R300" s="95"/>
    </row>
    <row r="301" spans="2:18" s="94" customFormat="1" x14ac:dyDescent="0.25">
      <c r="B301" s="93"/>
      <c r="O301" s="95"/>
      <c r="P301" s="95"/>
      <c r="Q301" s="95"/>
      <c r="R301" s="95"/>
    </row>
    <row r="302" spans="2:18" s="94" customFormat="1" x14ac:dyDescent="0.25">
      <c r="B302" s="93"/>
      <c r="O302" s="95"/>
      <c r="P302" s="95"/>
      <c r="Q302" s="95"/>
      <c r="R302" s="95"/>
    </row>
    <row r="303" spans="2:18" s="94" customFormat="1" x14ac:dyDescent="0.25">
      <c r="B303" s="93"/>
      <c r="O303" s="95"/>
      <c r="P303" s="95"/>
      <c r="Q303" s="95"/>
      <c r="R303" s="95"/>
    </row>
    <row r="304" spans="2:18" s="94" customFormat="1" x14ac:dyDescent="0.25">
      <c r="B304" s="93"/>
      <c r="O304" s="95"/>
      <c r="P304" s="95"/>
      <c r="Q304" s="95"/>
      <c r="R304" s="95"/>
    </row>
    <row r="305" spans="2:18" s="94" customFormat="1" x14ac:dyDescent="0.25">
      <c r="B305" s="93"/>
      <c r="O305" s="95"/>
      <c r="P305" s="95"/>
      <c r="Q305" s="95"/>
      <c r="R305" s="95"/>
    </row>
    <row r="306" spans="2:18" s="94" customFormat="1" x14ac:dyDescent="0.25">
      <c r="B306" s="93"/>
      <c r="O306" s="95"/>
      <c r="P306" s="95"/>
      <c r="Q306" s="95"/>
      <c r="R306" s="95"/>
    </row>
    <row r="307" spans="2:18" s="94" customFormat="1" x14ac:dyDescent="0.25">
      <c r="B307" s="93"/>
      <c r="O307" s="95"/>
      <c r="P307" s="95"/>
      <c r="Q307" s="95"/>
      <c r="R307" s="95"/>
    </row>
    <row r="308" spans="2:18" s="94" customFormat="1" x14ac:dyDescent="0.25">
      <c r="B308" s="93"/>
      <c r="O308" s="95"/>
      <c r="P308" s="95"/>
      <c r="Q308" s="95"/>
      <c r="R308" s="95"/>
    </row>
    <row r="309" spans="2:18" s="94" customFormat="1" x14ac:dyDescent="0.25">
      <c r="B309" s="93"/>
      <c r="O309" s="95"/>
      <c r="P309" s="95"/>
      <c r="Q309" s="95"/>
      <c r="R309" s="95"/>
    </row>
    <row r="310" spans="2:18" s="94" customFormat="1" x14ac:dyDescent="0.25">
      <c r="B310" s="93"/>
      <c r="O310" s="95"/>
      <c r="P310" s="95"/>
      <c r="Q310" s="95"/>
      <c r="R310" s="95"/>
    </row>
    <row r="311" spans="2:18" s="94" customFormat="1" x14ac:dyDescent="0.25">
      <c r="B311" s="93"/>
      <c r="O311" s="95"/>
      <c r="P311" s="95"/>
      <c r="Q311" s="95"/>
      <c r="R311" s="95"/>
    </row>
    <row r="312" spans="2:18" s="94" customFormat="1" x14ac:dyDescent="0.25">
      <c r="B312" s="93"/>
      <c r="O312" s="95"/>
      <c r="P312" s="95"/>
      <c r="Q312" s="95"/>
      <c r="R312" s="95"/>
    </row>
    <row r="313" spans="2:18" s="94" customFormat="1" x14ac:dyDescent="0.25">
      <c r="B313" s="93"/>
      <c r="O313" s="95"/>
      <c r="P313" s="95"/>
      <c r="Q313" s="95"/>
      <c r="R313" s="95"/>
    </row>
    <row r="314" spans="2:18" s="94" customFormat="1" x14ac:dyDescent="0.25">
      <c r="B314" s="93"/>
      <c r="O314" s="95"/>
      <c r="P314" s="95"/>
      <c r="Q314" s="95"/>
      <c r="R314" s="95"/>
    </row>
    <row r="315" spans="2:18" s="94" customFormat="1" x14ac:dyDescent="0.25">
      <c r="B315" s="93"/>
      <c r="O315" s="95"/>
      <c r="P315" s="95"/>
      <c r="Q315" s="95"/>
      <c r="R315" s="95"/>
    </row>
    <row r="316" spans="2:18" s="94" customFormat="1" x14ac:dyDescent="0.25">
      <c r="B316" s="93"/>
      <c r="O316" s="95"/>
      <c r="P316" s="95"/>
      <c r="Q316" s="95"/>
      <c r="R316" s="95"/>
    </row>
    <row r="317" spans="2:18" s="94" customFormat="1" x14ac:dyDescent="0.25">
      <c r="B317" s="93"/>
      <c r="O317" s="95"/>
      <c r="P317" s="95"/>
      <c r="Q317" s="95"/>
      <c r="R317" s="95"/>
    </row>
    <row r="318" spans="2:18" s="94" customFormat="1" x14ac:dyDescent="0.25">
      <c r="B318" s="93"/>
      <c r="O318" s="95"/>
      <c r="P318" s="95"/>
      <c r="Q318" s="95"/>
      <c r="R318" s="95"/>
    </row>
    <row r="319" spans="2:18" s="94" customFormat="1" x14ac:dyDescent="0.25">
      <c r="B319" s="93"/>
      <c r="O319" s="95"/>
      <c r="P319" s="95"/>
      <c r="Q319" s="95"/>
      <c r="R319" s="95"/>
    </row>
    <row r="320" spans="2:18" s="94" customFormat="1" x14ac:dyDescent="0.25">
      <c r="B320" s="93"/>
      <c r="O320" s="95"/>
      <c r="P320" s="95"/>
      <c r="Q320" s="95"/>
      <c r="R320" s="95"/>
    </row>
    <row r="321" spans="2:18" s="94" customFormat="1" x14ac:dyDescent="0.25">
      <c r="B321" s="93"/>
      <c r="O321" s="95"/>
      <c r="P321" s="95"/>
      <c r="Q321" s="95"/>
      <c r="R321" s="95"/>
    </row>
    <row r="322" spans="2:18" s="94" customFormat="1" x14ac:dyDescent="0.25">
      <c r="B322" s="93"/>
      <c r="O322" s="95"/>
      <c r="P322" s="95"/>
      <c r="Q322" s="95"/>
      <c r="R322" s="95"/>
    </row>
    <row r="323" spans="2:18" s="94" customFormat="1" x14ac:dyDescent="0.25">
      <c r="B323" s="93"/>
      <c r="O323" s="95"/>
      <c r="P323" s="95"/>
      <c r="Q323" s="95"/>
      <c r="R323" s="95"/>
    </row>
    <row r="324" spans="2:18" s="94" customFormat="1" x14ac:dyDescent="0.25">
      <c r="B324" s="93"/>
      <c r="O324" s="95"/>
      <c r="P324" s="95"/>
      <c r="Q324" s="95"/>
      <c r="R324" s="95"/>
    </row>
    <row r="325" spans="2:18" s="94" customFormat="1" x14ac:dyDescent="0.25">
      <c r="B325" s="93"/>
      <c r="O325" s="95"/>
      <c r="P325" s="95"/>
      <c r="Q325" s="95"/>
      <c r="R325" s="95"/>
    </row>
    <row r="326" spans="2:18" s="94" customFormat="1" x14ac:dyDescent="0.25">
      <c r="B326" s="93"/>
      <c r="O326" s="95"/>
      <c r="P326" s="95"/>
      <c r="Q326" s="95"/>
      <c r="R326" s="95"/>
    </row>
    <row r="327" spans="2:18" s="94" customFormat="1" x14ac:dyDescent="0.25">
      <c r="B327" s="93"/>
      <c r="O327" s="95"/>
      <c r="P327" s="95"/>
      <c r="Q327" s="95"/>
      <c r="R327" s="95"/>
    </row>
    <row r="328" spans="2:18" s="94" customFormat="1" x14ac:dyDescent="0.25">
      <c r="B328" s="93"/>
      <c r="O328" s="95"/>
      <c r="P328" s="95"/>
      <c r="Q328" s="95"/>
      <c r="R328" s="95"/>
    </row>
    <row r="329" spans="2:18" s="94" customFormat="1" x14ac:dyDescent="0.25">
      <c r="B329" s="93"/>
      <c r="O329" s="95"/>
      <c r="P329" s="95"/>
      <c r="Q329" s="95"/>
      <c r="R329" s="95"/>
    </row>
    <row r="330" spans="2:18" s="94" customFormat="1" x14ac:dyDescent="0.25">
      <c r="B330" s="93"/>
      <c r="O330" s="95"/>
      <c r="P330" s="95"/>
      <c r="Q330" s="95"/>
      <c r="R330" s="95"/>
    </row>
    <row r="331" spans="2:18" s="94" customFormat="1" x14ac:dyDescent="0.25">
      <c r="B331" s="93"/>
      <c r="O331" s="95"/>
      <c r="P331" s="95"/>
      <c r="Q331" s="95"/>
      <c r="R331" s="95"/>
    </row>
    <row r="332" spans="2:18" s="94" customFormat="1" x14ac:dyDescent="0.25">
      <c r="B332" s="93"/>
      <c r="O332" s="95"/>
      <c r="P332" s="95"/>
      <c r="Q332" s="95"/>
      <c r="R332" s="95"/>
    </row>
    <row r="333" spans="2:18" s="94" customFormat="1" x14ac:dyDescent="0.25">
      <c r="B333" s="93"/>
      <c r="O333" s="95"/>
      <c r="P333" s="95"/>
      <c r="Q333" s="95"/>
      <c r="R333" s="95"/>
    </row>
    <row r="334" spans="2:18" s="94" customFormat="1" x14ac:dyDescent="0.25">
      <c r="B334" s="93"/>
      <c r="O334" s="95"/>
      <c r="P334" s="95"/>
      <c r="Q334" s="95"/>
      <c r="R334" s="95"/>
    </row>
    <row r="335" spans="2:18" s="94" customFormat="1" x14ac:dyDescent="0.25">
      <c r="B335" s="93"/>
      <c r="O335" s="95"/>
      <c r="P335" s="95"/>
      <c r="Q335" s="95"/>
      <c r="R335" s="95"/>
    </row>
    <row r="336" spans="2:18" s="94" customFormat="1" x14ac:dyDescent="0.25">
      <c r="B336" s="93"/>
      <c r="O336" s="95"/>
      <c r="P336" s="95"/>
      <c r="Q336" s="95"/>
      <c r="R336" s="95"/>
    </row>
    <row r="337" spans="2:18" s="94" customFormat="1" x14ac:dyDescent="0.25">
      <c r="B337" s="93"/>
      <c r="O337" s="95"/>
      <c r="P337" s="95"/>
      <c r="Q337" s="95"/>
      <c r="R337" s="95"/>
    </row>
    <row r="338" spans="2:18" s="94" customFormat="1" x14ac:dyDescent="0.25">
      <c r="B338" s="93"/>
      <c r="O338" s="95"/>
      <c r="P338" s="95"/>
      <c r="Q338" s="95"/>
      <c r="R338" s="95"/>
    </row>
    <row r="339" spans="2:18" s="94" customFormat="1" x14ac:dyDescent="0.25">
      <c r="B339" s="93"/>
      <c r="O339" s="95"/>
      <c r="P339" s="95"/>
      <c r="Q339" s="95"/>
      <c r="R339" s="95"/>
    </row>
    <row r="340" spans="2:18" s="94" customFormat="1" x14ac:dyDescent="0.25">
      <c r="B340" s="93"/>
      <c r="O340" s="95"/>
      <c r="P340" s="95"/>
      <c r="Q340" s="95"/>
      <c r="R340" s="95"/>
    </row>
    <row r="341" spans="2:18" s="94" customFormat="1" x14ac:dyDescent="0.25">
      <c r="B341" s="93"/>
      <c r="O341" s="95"/>
      <c r="P341" s="95"/>
      <c r="Q341" s="95"/>
      <c r="R341" s="95"/>
    </row>
    <row r="342" spans="2:18" s="94" customFormat="1" x14ac:dyDescent="0.25">
      <c r="B342" s="93"/>
      <c r="O342" s="95"/>
      <c r="P342" s="95"/>
      <c r="Q342" s="95"/>
      <c r="R342" s="95"/>
    </row>
    <row r="343" spans="2:18" s="94" customFormat="1" x14ac:dyDescent="0.25">
      <c r="B343" s="93"/>
      <c r="O343" s="95"/>
      <c r="P343" s="95"/>
      <c r="Q343" s="95"/>
      <c r="R343" s="95"/>
    </row>
    <row r="344" spans="2:18" s="94" customFormat="1" x14ac:dyDescent="0.25">
      <c r="B344" s="93"/>
      <c r="O344" s="95"/>
      <c r="P344" s="95"/>
      <c r="Q344" s="95"/>
      <c r="R344" s="95"/>
    </row>
    <row r="345" spans="2:18" s="94" customFormat="1" x14ac:dyDescent="0.25">
      <c r="B345" s="93"/>
      <c r="O345" s="95"/>
      <c r="P345" s="95"/>
      <c r="Q345" s="95"/>
      <c r="R345" s="95"/>
    </row>
    <row r="346" spans="2:18" s="94" customFormat="1" x14ac:dyDescent="0.25">
      <c r="B346" s="93"/>
      <c r="O346" s="95"/>
      <c r="P346" s="95"/>
      <c r="Q346" s="95"/>
      <c r="R346" s="95"/>
    </row>
    <row r="347" spans="2:18" s="94" customFormat="1" x14ac:dyDescent="0.25">
      <c r="B347" s="93"/>
      <c r="O347" s="95"/>
      <c r="P347" s="95"/>
      <c r="Q347" s="95"/>
      <c r="R347" s="95"/>
    </row>
    <row r="348" spans="2:18" s="94" customFormat="1" x14ac:dyDescent="0.25">
      <c r="B348" s="93"/>
      <c r="O348" s="95"/>
      <c r="P348" s="95"/>
      <c r="Q348" s="95"/>
      <c r="R348" s="95"/>
    </row>
    <row r="349" spans="2:18" s="94" customFormat="1" x14ac:dyDescent="0.25">
      <c r="B349" s="93"/>
      <c r="O349" s="95"/>
      <c r="P349" s="95"/>
      <c r="Q349" s="95"/>
      <c r="R349" s="95"/>
    </row>
    <row r="350" spans="2:18" s="94" customFormat="1" x14ac:dyDescent="0.25">
      <c r="B350" s="93"/>
      <c r="O350" s="95"/>
      <c r="P350" s="95"/>
      <c r="Q350" s="95"/>
      <c r="R350" s="95"/>
    </row>
    <row r="351" spans="2:18" s="94" customFormat="1" x14ac:dyDescent="0.25">
      <c r="B351" s="93"/>
      <c r="O351" s="95"/>
      <c r="P351" s="95"/>
      <c r="Q351" s="95"/>
      <c r="R351" s="95"/>
    </row>
    <row r="352" spans="2:18" s="94" customFormat="1" x14ac:dyDescent="0.25">
      <c r="B352" s="93"/>
      <c r="O352" s="95"/>
      <c r="P352" s="95"/>
      <c r="Q352" s="95"/>
      <c r="R352" s="95"/>
    </row>
    <row r="353" spans="2:18" s="94" customFormat="1" x14ac:dyDescent="0.25">
      <c r="B353" s="93"/>
      <c r="O353" s="95"/>
      <c r="P353" s="95"/>
      <c r="Q353" s="95"/>
      <c r="R353" s="95"/>
    </row>
    <row r="354" spans="2:18" s="94" customFormat="1" x14ac:dyDescent="0.25">
      <c r="B354" s="93"/>
      <c r="O354" s="95"/>
      <c r="P354" s="95"/>
      <c r="Q354" s="95"/>
      <c r="R354" s="95"/>
    </row>
    <row r="355" spans="2:18" s="94" customFormat="1" x14ac:dyDescent="0.25">
      <c r="B355" s="93"/>
      <c r="O355" s="95"/>
      <c r="P355" s="95"/>
      <c r="Q355" s="95"/>
      <c r="R355" s="95"/>
    </row>
    <row r="356" spans="2:18" s="94" customFormat="1" x14ac:dyDescent="0.25">
      <c r="B356" s="93"/>
      <c r="O356" s="95"/>
      <c r="P356" s="95"/>
      <c r="Q356" s="95"/>
      <c r="R356" s="95"/>
    </row>
    <row r="357" spans="2:18" s="94" customFormat="1" x14ac:dyDescent="0.25">
      <c r="B357" s="93"/>
      <c r="O357" s="95"/>
      <c r="P357" s="95"/>
      <c r="Q357" s="95"/>
      <c r="R357" s="95"/>
    </row>
    <row r="358" spans="2:18" s="94" customFormat="1" x14ac:dyDescent="0.25">
      <c r="B358" s="93"/>
      <c r="O358" s="95"/>
      <c r="P358" s="95"/>
      <c r="Q358" s="95"/>
      <c r="R358" s="95"/>
    </row>
    <row r="359" spans="2:18" s="94" customFormat="1" x14ac:dyDescent="0.25">
      <c r="B359" s="93"/>
      <c r="O359" s="95"/>
      <c r="P359" s="95"/>
      <c r="Q359" s="95"/>
      <c r="R359" s="95"/>
    </row>
    <row r="360" spans="2:18" s="94" customFormat="1" x14ac:dyDescent="0.25">
      <c r="B360" s="93"/>
      <c r="O360" s="95"/>
      <c r="P360" s="95"/>
      <c r="Q360" s="95"/>
      <c r="R360" s="95"/>
    </row>
    <row r="361" spans="2:18" s="94" customFormat="1" x14ac:dyDescent="0.25">
      <c r="B361" s="93"/>
      <c r="O361" s="95"/>
      <c r="P361" s="95"/>
      <c r="Q361" s="95"/>
      <c r="R361" s="95"/>
    </row>
    <row r="362" spans="2:18" s="94" customFormat="1" x14ac:dyDescent="0.25">
      <c r="B362" s="93"/>
      <c r="O362" s="95"/>
      <c r="P362" s="95"/>
      <c r="Q362" s="95"/>
      <c r="R362" s="95"/>
    </row>
    <row r="363" spans="2:18" s="94" customFormat="1" x14ac:dyDescent="0.25">
      <c r="B363" s="93"/>
      <c r="O363" s="95"/>
      <c r="P363" s="95"/>
      <c r="Q363" s="95"/>
      <c r="R363" s="95"/>
    </row>
    <row r="364" spans="2:18" s="94" customFormat="1" x14ac:dyDescent="0.25">
      <c r="B364" s="93"/>
      <c r="O364" s="95"/>
      <c r="P364" s="95"/>
      <c r="Q364" s="95"/>
      <c r="R364" s="95"/>
    </row>
    <row r="365" spans="2:18" s="94" customFormat="1" x14ac:dyDescent="0.25">
      <c r="B365" s="93"/>
      <c r="O365" s="95"/>
      <c r="P365" s="95"/>
      <c r="Q365" s="95"/>
      <c r="R365" s="95"/>
    </row>
    <row r="366" spans="2:18" s="94" customFormat="1" x14ac:dyDescent="0.25">
      <c r="B366" s="93"/>
      <c r="O366" s="95"/>
      <c r="P366" s="95"/>
      <c r="Q366" s="95"/>
      <c r="R366" s="95"/>
    </row>
    <row r="367" spans="2:18" s="94" customFormat="1" x14ac:dyDescent="0.25">
      <c r="B367" s="93"/>
      <c r="O367" s="95"/>
      <c r="P367" s="95"/>
      <c r="Q367" s="95"/>
      <c r="R367" s="95"/>
    </row>
    <row r="368" spans="2:18" s="94" customFormat="1" x14ac:dyDescent="0.25">
      <c r="B368" s="93"/>
      <c r="O368" s="95"/>
      <c r="P368" s="95"/>
      <c r="Q368" s="95"/>
      <c r="R368" s="95"/>
    </row>
    <row r="369" spans="2:18" s="94" customFormat="1" x14ac:dyDescent="0.25">
      <c r="B369" s="93"/>
      <c r="O369" s="95"/>
      <c r="P369" s="95"/>
      <c r="Q369" s="95"/>
      <c r="R369" s="95"/>
    </row>
    <row r="370" spans="2:18" s="94" customFormat="1" x14ac:dyDescent="0.25">
      <c r="B370" s="93"/>
      <c r="O370" s="95"/>
      <c r="P370" s="95"/>
      <c r="Q370" s="95"/>
      <c r="R370" s="95"/>
    </row>
    <row r="371" spans="2:18" s="94" customFormat="1" x14ac:dyDescent="0.25">
      <c r="B371" s="93"/>
      <c r="O371" s="95"/>
      <c r="P371" s="95"/>
      <c r="Q371" s="95"/>
      <c r="R371" s="95"/>
    </row>
    <row r="372" spans="2:18" s="94" customFormat="1" x14ac:dyDescent="0.25">
      <c r="B372" s="93"/>
      <c r="O372" s="95"/>
      <c r="P372" s="95"/>
      <c r="Q372" s="95"/>
      <c r="R372" s="95"/>
    </row>
    <row r="373" spans="2:18" s="94" customFormat="1" x14ac:dyDescent="0.25">
      <c r="B373" s="93"/>
      <c r="O373" s="95"/>
      <c r="P373" s="95"/>
      <c r="Q373" s="95"/>
      <c r="R373" s="95"/>
    </row>
    <row r="374" spans="2:18" s="94" customFormat="1" x14ac:dyDescent="0.25">
      <c r="B374" s="93"/>
      <c r="O374" s="95"/>
      <c r="P374" s="95"/>
      <c r="Q374" s="95"/>
      <c r="R374" s="95"/>
    </row>
    <row r="375" spans="2:18" s="94" customFormat="1" x14ac:dyDescent="0.25">
      <c r="B375" s="93"/>
      <c r="O375" s="95"/>
      <c r="P375" s="95"/>
      <c r="Q375" s="95"/>
      <c r="R375" s="95"/>
    </row>
    <row r="376" spans="2:18" s="94" customFormat="1" x14ac:dyDescent="0.25">
      <c r="B376" s="93"/>
      <c r="O376" s="95"/>
      <c r="P376" s="95"/>
      <c r="Q376" s="95"/>
      <c r="R376" s="95"/>
    </row>
    <row r="377" spans="2:18" s="94" customFormat="1" x14ac:dyDescent="0.25">
      <c r="B377" s="93"/>
      <c r="O377" s="95"/>
      <c r="P377" s="95"/>
      <c r="Q377" s="95"/>
      <c r="R377" s="95"/>
    </row>
    <row r="378" spans="2:18" s="94" customFormat="1" x14ac:dyDescent="0.25">
      <c r="B378" s="93"/>
      <c r="O378" s="95"/>
      <c r="P378" s="95"/>
      <c r="Q378" s="95"/>
      <c r="R378" s="95"/>
    </row>
    <row r="379" spans="2:18" s="94" customFormat="1" x14ac:dyDescent="0.25">
      <c r="B379" s="93"/>
      <c r="O379" s="95"/>
      <c r="P379" s="95"/>
      <c r="Q379" s="95"/>
      <c r="R379" s="95"/>
    </row>
  </sheetData>
  <autoFilter ref="A5:R16"/>
  <mergeCells count="6">
    <mergeCell ref="A1:B3"/>
    <mergeCell ref="C1:M2"/>
    <mergeCell ref="N1:Q1"/>
    <mergeCell ref="N2:Q2"/>
    <mergeCell ref="C3:M3"/>
    <mergeCell ref="N3:Q3"/>
  </mergeCells>
  <dataValidations count="3">
    <dataValidation type="list" allowBlank="1" showInputMessage="1" showErrorMessage="1" sqref="B6:B16 IX6:IX16 ST6:ST16 ACP6:ACP16 AML6:AML16 AWH6:AWH16 BGD6:BGD16 BPZ6:BPZ16 BZV6:BZV16 CJR6:CJR16 CTN6:CTN16 DDJ6:DDJ16 DNF6:DNF16 DXB6:DXB16 EGX6:EGX16 EQT6:EQT16 FAP6:FAP16 FKL6:FKL16 FUH6:FUH16 GED6:GED16 GNZ6:GNZ16 GXV6:GXV16 HHR6:HHR16 HRN6:HRN16 IBJ6:IBJ16 ILF6:ILF16 IVB6:IVB16 JEX6:JEX16 JOT6:JOT16 JYP6:JYP16 KIL6:KIL16 KSH6:KSH16 LCD6:LCD16 LLZ6:LLZ16 LVV6:LVV16 MFR6:MFR16 MPN6:MPN16 MZJ6:MZJ16 NJF6:NJF16 NTB6:NTB16 OCX6:OCX16 OMT6:OMT16 OWP6:OWP16 PGL6:PGL16 PQH6:PQH16 QAD6:QAD16 QJZ6:QJZ16 QTV6:QTV16 RDR6:RDR16 RNN6:RNN16 RXJ6:RXJ16 SHF6:SHF16 SRB6:SRB16 TAX6:TAX16 TKT6:TKT16 TUP6:TUP16 UEL6:UEL16 UOH6:UOH16 UYD6:UYD16 VHZ6:VHZ16 VRV6:VRV16 WBR6:WBR16 WLN6:WLN16 WVJ6:WVJ16 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META</formula1>
    </dataValidation>
    <dataValidation type="list" allowBlank="1" showInputMessage="1" showErrorMessage="1" sqref="A6:A16 IW6:IW16 SS6:SS16 ACO6:ACO16 AMK6:AMK16 AWG6:AWG16 BGC6:BGC16 BPY6:BPY16 BZU6:BZU16 CJQ6:CJQ16 CTM6:CTM16 DDI6:DDI16 DNE6:DNE16 DXA6:DXA16 EGW6:EGW16 EQS6:EQS16 FAO6:FAO16 FKK6:FKK16 FUG6:FUG16 GEC6:GEC16 GNY6:GNY16 GXU6:GXU16 HHQ6:HHQ16 HRM6:HRM16 IBI6:IBI16 ILE6:ILE16 IVA6:IVA16 JEW6:JEW16 JOS6:JOS16 JYO6:JYO16 KIK6:KIK16 KSG6:KSG16 LCC6:LCC16 LLY6:LLY16 LVU6:LVU16 MFQ6:MFQ16 MPM6:MPM16 MZI6:MZI16 NJE6:NJE16 NTA6:NTA16 OCW6:OCW16 OMS6:OMS16 OWO6:OWO16 PGK6:PGK16 PQG6:PQG16 QAC6:QAC16 QJY6:QJY16 QTU6:QTU16 RDQ6:RDQ16 RNM6:RNM16 RXI6:RXI16 SHE6:SHE16 SRA6:SRA16 TAW6:TAW16 TKS6:TKS16 TUO6:TUO16 UEK6:UEK16 UOG6:UOG16 UYC6:UYC16 VHY6:VHY16 VRU6:VRU16 WBQ6:WBQ16 WLM6:WLM16 WVI6:WVI16 A65540:A65550 IW65540:IW65550 SS65540:SS65550 ACO65540:ACO65550 AMK65540:AMK65550 AWG65540:AWG65550 BGC65540:BGC65550 BPY65540:BPY65550 BZU65540:BZU65550 CJQ65540:CJQ65550 CTM65540:CTM65550 DDI65540:DDI65550 DNE65540:DNE65550 DXA65540:DXA65550 EGW65540:EGW65550 EQS65540:EQS65550 FAO65540:FAO65550 FKK65540:FKK65550 FUG65540:FUG65550 GEC65540:GEC65550 GNY65540:GNY65550 GXU65540:GXU65550 HHQ65540:HHQ65550 HRM65540:HRM65550 IBI65540:IBI65550 ILE65540:ILE65550 IVA65540:IVA65550 JEW65540:JEW65550 JOS65540:JOS65550 JYO65540:JYO65550 KIK65540:KIK65550 KSG65540:KSG65550 LCC65540:LCC65550 LLY65540:LLY65550 LVU65540:LVU65550 MFQ65540:MFQ65550 MPM65540:MPM65550 MZI65540:MZI65550 NJE65540:NJE65550 NTA65540:NTA65550 OCW65540:OCW65550 OMS65540:OMS65550 OWO65540:OWO65550 PGK65540:PGK65550 PQG65540:PQG65550 QAC65540:QAC65550 QJY65540:QJY65550 QTU65540:QTU65550 RDQ65540:RDQ65550 RNM65540:RNM65550 RXI65540:RXI65550 SHE65540:SHE65550 SRA65540:SRA65550 TAW65540:TAW65550 TKS65540:TKS65550 TUO65540:TUO65550 UEK65540:UEK65550 UOG65540:UOG65550 UYC65540:UYC65550 VHY65540:VHY65550 VRU65540:VRU65550 WBQ65540:WBQ65550 WLM65540:WLM65550 WVI65540:WVI65550 A131076:A131086 IW131076:IW131086 SS131076:SS131086 ACO131076:ACO131086 AMK131076:AMK131086 AWG131076:AWG131086 BGC131076:BGC131086 BPY131076:BPY131086 BZU131076:BZU131086 CJQ131076:CJQ131086 CTM131076:CTM131086 DDI131076:DDI131086 DNE131076:DNE131086 DXA131076:DXA131086 EGW131076:EGW131086 EQS131076:EQS131086 FAO131076:FAO131086 FKK131076:FKK131086 FUG131076:FUG131086 GEC131076:GEC131086 GNY131076:GNY131086 GXU131076:GXU131086 HHQ131076:HHQ131086 HRM131076:HRM131086 IBI131076:IBI131086 ILE131076:ILE131086 IVA131076:IVA131086 JEW131076:JEW131086 JOS131076:JOS131086 JYO131076:JYO131086 KIK131076:KIK131086 KSG131076:KSG131086 LCC131076:LCC131086 LLY131076:LLY131086 LVU131076:LVU131086 MFQ131076:MFQ131086 MPM131076:MPM131086 MZI131076:MZI131086 NJE131076:NJE131086 NTA131076:NTA131086 OCW131076:OCW131086 OMS131076:OMS131086 OWO131076:OWO131086 PGK131076:PGK131086 PQG131076:PQG131086 QAC131076:QAC131086 QJY131076:QJY131086 QTU131076:QTU131086 RDQ131076:RDQ131086 RNM131076:RNM131086 RXI131076:RXI131086 SHE131076:SHE131086 SRA131076:SRA131086 TAW131076:TAW131086 TKS131076:TKS131086 TUO131076:TUO131086 UEK131076:UEK131086 UOG131076:UOG131086 UYC131076:UYC131086 VHY131076:VHY131086 VRU131076:VRU131086 WBQ131076:WBQ131086 WLM131076:WLM131086 WVI131076:WVI131086 A196612:A196622 IW196612:IW196622 SS196612:SS196622 ACO196612:ACO196622 AMK196612:AMK196622 AWG196612:AWG196622 BGC196612:BGC196622 BPY196612:BPY196622 BZU196612:BZU196622 CJQ196612:CJQ196622 CTM196612:CTM196622 DDI196612:DDI196622 DNE196612:DNE196622 DXA196612:DXA196622 EGW196612:EGW196622 EQS196612:EQS196622 FAO196612:FAO196622 FKK196612:FKK196622 FUG196612:FUG196622 GEC196612:GEC196622 GNY196612:GNY196622 GXU196612:GXU196622 HHQ196612:HHQ196622 HRM196612:HRM196622 IBI196612:IBI196622 ILE196612:ILE196622 IVA196612:IVA196622 JEW196612:JEW196622 JOS196612:JOS196622 JYO196612:JYO196622 KIK196612:KIK196622 KSG196612:KSG196622 LCC196612:LCC196622 LLY196612:LLY196622 LVU196612:LVU196622 MFQ196612:MFQ196622 MPM196612:MPM196622 MZI196612:MZI196622 NJE196612:NJE196622 NTA196612:NTA196622 OCW196612:OCW196622 OMS196612:OMS196622 OWO196612:OWO196622 PGK196612:PGK196622 PQG196612:PQG196622 QAC196612:QAC196622 QJY196612:QJY196622 QTU196612:QTU196622 RDQ196612:RDQ196622 RNM196612:RNM196622 RXI196612:RXI196622 SHE196612:SHE196622 SRA196612:SRA196622 TAW196612:TAW196622 TKS196612:TKS196622 TUO196612:TUO196622 UEK196612:UEK196622 UOG196612:UOG196622 UYC196612:UYC196622 VHY196612:VHY196622 VRU196612:VRU196622 WBQ196612:WBQ196622 WLM196612:WLM196622 WVI196612:WVI196622 A262148:A262158 IW262148:IW262158 SS262148:SS262158 ACO262148:ACO262158 AMK262148:AMK262158 AWG262148:AWG262158 BGC262148:BGC262158 BPY262148:BPY262158 BZU262148:BZU262158 CJQ262148:CJQ262158 CTM262148:CTM262158 DDI262148:DDI262158 DNE262148:DNE262158 DXA262148:DXA262158 EGW262148:EGW262158 EQS262148:EQS262158 FAO262148:FAO262158 FKK262148:FKK262158 FUG262148:FUG262158 GEC262148:GEC262158 GNY262148:GNY262158 GXU262148:GXU262158 HHQ262148:HHQ262158 HRM262148:HRM262158 IBI262148:IBI262158 ILE262148:ILE262158 IVA262148:IVA262158 JEW262148:JEW262158 JOS262148:JOS262158 JYO262148:JYO262158 KIK262148:KIK262158 KSG262148:KSG262158 LCC262148:LCC262158 LLY262148:LLY262158 LVU262148:LVU262158 MFQ262148:MFQ262158 MPM262148:MPM262158 MZI262148:MZI262158 NJE262148:NJE262158 NTA262148:NTA262158 OCW262148:OCW262158 OMS262148:OMS262158 OWO262148:OWO262158 PGK262148:PGK262158 PQG262148:PQG262158 QAC262148:QAC262158 QJY262148:QJY262158 QTU262148:QTU262158 RDQ262148:RDQ262158 RNM262148:RNM262158 RXI262148:RXI262158 SHE262148:SHE262158 SRA262148:SRA262158 TAW262148:TAW262158 TKS262148:TKS262158 TUO262148:TUO262158 UEK262148:UEK262158 UOG262148:UOG262158 UYC262148:UYC262158 VHY262148:VHY262158 VRU262148:VRU262158 WBQ262148:WBQ262158 WLM262148:WLM262158 WVI262148:WVI262158 A327684:A327694 IW327684:IW327694 SS327684:SS327694 ACO327684:ACO327694 AMK327684:AMK327694 AWG327684:AWG327694 BGC327684:BGC327694 BPY327684:BPY327694 BZU327684:BZU327694 CJQ327684:CJQ327694 CTM327684:CTM327694 DDI327684:DDI327694 DNE327684:DNE327694 DXA327684:DXA327694 EGW327684:EGW327694 EQS327684:EQS327694 FAO327684:FAO327694 FKK327684:FKK327694 FUG327684:FUG327694 GEC327684:GEC327694 GNY327684:GNY327694 GXU327684:GXU327694 HHQ327684:HHQ327694 HRM327684:HRM327694 IBI327684:IBI327694 ILE327684:ILE327694 IVA327684:IVA327694 JEW327684:JEW327694 JOS327684:JOS327694 JYO327684:JYO327694 KIK327684:KIK327694 KSG327684:KSG327694 LCC327684:LCC327694 LLY327684:LLY327694 LVU327684:LVU327694 MFQ327684:MFQ327694 MPM327684:MPM327694 MZI327684:MZI327694 NJE327684:NJE327694 NTA327684:NTA327694 OCW327684:OCW327694 OMS327684:OMS327694 OWO327684:OWO327694 PGK327684:PGK327694 PQG327684:PQG327694 QAC327684:QAC327694 QJY327684:QJY327694 QTU327684:QTU327694 RDQ327684:RDQ327694 RNM327684:RNM327694 RXI327684:RXI327694 SHE327684:SHE327694 SRA327684:SRA327694 TAW327684:TAW327694 TKS327684:TKS327694 TUO327684:TUO327694 UEK327684:UEK327694 UOG327684:UOG327694 UYC327684:UYC327694 VHY327684:VHY327694 VRU327684:VRU327694 WBQ327684:WBQ327694 WLM327684:WLM327694 WVI327684:WVI327694 A393220:A393230 IW393220:IW393230 SS393220:SS393230 ACO393220:ACO393230 AMK393220:AMK393230 AWG393220:AWG393230 BGC393220:BGC393230 BPY393220:BPY393230 BZU393220:BZU393230 CJQ393220:CJQ393230 CTM393220:CTM393230 DDI393220:DDI393230 DNE393220:DNE393230 DXA393220:DXA393230 EGW393220:EGW393230 EQS393220:EQS393230 FAO393220:FAO393230 FKK393220:FKK393230 FUG393220:FUG393230 GEC393220:GEC393230 GNY393220:GNY393230 GXU393220:GXU393230 HHQ393220:HHQ393230 HRM393220:HRM393230 IBI393220:IBI393230 ILE393220:ILE393230 IVA393220:IVA393230 JEW393220:JEW393230 JOS393220:JOS393230 JYO393220:JYO393230 KIK393220:KIK393230 KSG393220:KSG393230 LCC393220:LCC393230 LLY393220:LLY393230 LVU393220:LVU393230 MFQ393220:MFQ393230 MPM393220:MPM393230 MZI393220:MZI393230 NJE393220:NJE393230 NTA393220:NTA393230 OCW393220:OCW393230 OMS393220:OMS393230 OWO393220:OWO393230 PGK393220:PGK393230 PQG393220:PQG393230 QAC393220:QAC393230 QJY393220:QJY393230 QTU393220:QTU393230 RDQ393220:RDQ393230 RNM393220:RNM393230 RXI393220:RXI393230 SHE393220:SHE393230 SRA393220:SRA393230 TAW393220:TAW393230 TKS393220:TKS393230 TUO393220:TUO393230 UEK393220:UEK393230 UOG393220:UOG393230 UYC393220:UYC393230 VHY393220:VHY393230 VRU393220:VRU393230 WBQ393220:WBQ393230 WLM393220:WLM393230 WVI393220:WVI393230 A458756:A458766 IW458756:IW458766 SS458756:SS458766 ACO458756:ACO458766 AMK458756:AMK458766 AWG458756:AWG458766 BGC458756:BGC458766 BPY458756:BPY458766 BZU458756:BZU458766 CJQ458756:CJQ458766 CTM458756:CTM458766 DDI458756:DDI458766 DNE458756:DNE458766 DXA458756:DXA458766 EGW458756:EGW458766 EQS458756:EQS458766 FAO458756:FAO458766 FKK458756:FKK458766 FUG458756:FUG458766 GEC458756:GEC458766 GNY458756:GNY458766 GXU458756:GXU458766 HHQ458756:HHQ458766 HRM458756:HRM458766 IBI458756:IBI458766 ILE458756:ILE458766 IVA458756:IVA458766 JEW458756:JEW458766 JOS458756:JOS458766 JYO458756:JYO458766 KIK458756:KIK458766 KSG458756:KSG458766 LCC458756:LCC458766 LLY458756:LLY458766 LVU458756:LVU458766 MFQ458756:MFQ458766 MPM458756:MPM458766 MZI458756:MZI458766 NJE458756:NJE458766 NTA458756:NTA458766 OCW458756:OCW458766 OMS458756:OMS458766 OWO458756:OWO458766 PGK458756:PGK458766 PQG458756:PQG458766 QAC458756:QAC458766 QJY458756:QJY458766 QTU458756:QTU458766 RDQ458756:RDQ458766 RNM458756:RNM458766 RXI458756:RXI458766 SHE458756:SHE458766 SRA458756:SRA458766 TAW458756:TAW458766 TKS458756:TKS458766 TUO458756:TUO458766 UEK458756:UEK458766 UOG458756:UOG458766 UYC458756:UYC458766 VHY458756:VHY458766 VRU458756:VRU458766 WBQ458756:WBQ458766 WLM458756:WLM458766 WVI458756:WVI458766 A524292:A524302 IW524292:IW524302 SS524292:SS524302 ACO524292:ACO524302 AMK524292:AMK524302 AWG524292:AWG524302 BGC524292:BGC524302 BPY524292:BPY524302 BZU524292:BZU524302 CJQ524292:CJQ524302 CTM524292:CTM524302 DDI524292:DDI524302 DNE524292:DNE524302 DXA524292:DXA524302 EGW524292:EGW524302 EQS524292:EQS524302 FAO524292:FAO524302 FKK524292:FKK524302 FUG524292:FUG524302 GEC524292:GEC524302 GNY524292:GNY524302 GXU524292:GXU524302 HHQ524292:HHQ524302 HRM524292:HRM524302 IBI524292:IBI524302 ILE524292:ILE524302 IVA524292:IVA524302 JEW524292:JEW524302 JOS524292:JOS524302 JYO524292:JYO524302 KIK524292:KIK524302 KSG524292:KSG524302 LCC524292:LCC524302 LLY524292:LLY524302 LVU524292:LVU524302 MFQ524292:MFQ524302 MPM524292:MPM524302 MZI524292:MZI524302 NJE524292:NJE524302 NTA524292:NTA524302 OCW524292:OCW524302 OMS524292:OMS524302 OWO524292:OWO524302 PGK524292:PGK524302 PQG524292:PQG524302 QAC524292:QAC524302 QJY524292:QJY524302 QTU524292:QTU524302 RDQ524292:RDQ524302 RNM524292:RNM524302 RXI524292:RXI524302 SHE524292:SHE524302 SRA524292:SRA524302 TAW524292:TAW524302 TKS524292:TKS524302 TUO524292:TUO524302 UEK524292:UEK524302 UOG524292:UOG524302 UYC524292:UYC524302 VHY524292:VHY524302 VRU524292:VRU524302 WBQ524292:WBQ524302 WLM524292:WLM524302 WVI524292:WVI524302 A589828:A589838 IW589828:IW589838 SS589828:SS589838 ACO589828:ACO589838 AMK589828:AMK589838 AWG589828:AWG589838 BGC589828:BGC589838 BPY589828:BPY589838 BZU589828:BZU589838 CJQ589828:CJQ589838 CTM589828:CTM589838 DDI589828:DDI589838 DNE589828:DNE589838 DXA589828:DXA589838 EGW589828:EGW589838 EQS589828:EQS589838 FAO589828:FAO589838 FKK589828:FKK589838 FUG589828:FUG589838 GEC589828:GEC589838 GNY589828:GNY589838 GXU589828:GXU589838 HHQ589828:HHQ589838 HRM589828:HRM589838 IBI589828:IBI589838 ILE589828:ILE589838 IVA589828:IVA589838 JEW589828:JEW589838 JOS589828:JOS589838 JYO589828:JYO589838 KIK589828:KIK589838 KSG589828:KSG589838 LCC589828:LCC589838 LLY589828:LLY589838 LVU589828:LVU589838 MFQ589828:MFQ589838 MPM589828:MPM589838 MZI589828:MZI589838 NJE589828:NJE589838 NTA589828:NTA589838 OCW589828:OCW589838 OMS589828:OMS589838 OWO589828:OWO589838 PGK589828:PGK589838 PQG589828:PQG589838 QAC589828:QAC589838 QJY589828:QJY589838 QTU589828:QTU589838 RDQ589828:RDQ589838 RNM589828:RNM589838 RXI589828:RXI589838 SHE589828:SHE589838 SRA589828:SRA589838 TAW589828:TAW589838 TKS589828:TKS589838 TUO589828:TUO589838 UEK589828:UEK589838 UOG589828:UOG589838 UYC589828:UYC589838 VHY589828:VHY589838 VRU589828:VRU589838 WBQ589828:WBQ589838 WLM589828:WLM589838 WVI589828:WVI589838 A655364:A655374 IW655364:IW655374 SS655364:SS655374 ACO655364:ACO655374 AMK655364:AMK655374 AWG655364:AWG655374 BGC655364:BGC655374 BPY655364:BPY655374 BZU655364:BZU655374 CJQ655364:CJQ655374 CTM655364:CTM655374 DDI655364:DDI655374 DNE655364:DNE655374 DXA655364:DXA655374 EGW655364:EGW655374 EQS655364:EQS655374 FAO655364:FAO655374 FKK655364:FKK655374 FUG655364:FUG655374 GEC655364:GEC655374 GNY655364:GNY655374 GXU655364:GXU655374 HHQ655364:HHQ655374 HRM655364:HRM655374 IBI655364:IBI655374 ILE655364:ILE655374 IVA655364:IVA655374 JEW655364:JEW655374 JOS655364:JOS655374 JYO655364:JYO655374 KIK655364:KIK655374 KSG655364:KSG655374 LCC655364:LCC655374 LLY655364:LLY655374 LVU655364:LVU655374 MFQ655364:MFQ655374 MPM655364:MPM655374 MZI655364:MZI655374 NJE655364:NJE655374 NTA655364:NTA655374 OCW655364:OCW655374 OMS655364:OMS655374 OWO655364:OWO655374 PGK655364:PGK655374 PQG655364:PQG655374 QAC655364:QAC655374 QJY655364:QJY655374 QTU655364:QTU655374 RDQ655364:RDQ655374 RNM655364:RNM655374 RXI655364:RXI655374 SHE655364:SHE655374 SRA655364:SRA655374 TAW655364:TAW655374 TKS655364:TKS655374 TUO655364:TUO655374 UEK655364:UEK655374 UOG655364:UOG655374 UYC655364:UYC655374 VHY655364:VHY655374 VRU655364:VRU655374 WBQ655364:WBQ655374 WLM655364:WLM655374 WVI655364:WVI655374 A720900:A720910 IW720900:IW720910 SS720900:SS720910 ACO720900:ACO720910 AMK720900:AMK720910 AWG720900:AWG720910 BGC720900:BGC720910 BPY720900:BPY720910 BZU720900:BZU720910 CJQ720900:CJQ720910 CTM720900:CTM720910 DDI720900:DDI720910 DNE720900:DNE720910 DXA720900:DXA720910 EGW720900:EGW720910 EQS720900:EQS720910 FAO720900:FAO720910 FKK720900:FKK720910 FUG720900:FUG720910 GEC720900:GEC720910 GNY720900:GNY720910 GXU720900:GXU720910 HHQ720900:HHQ720910 HRM720900:HRM720910 IBI720900:IBI720910 ILE720900:ILE720910 IVA720900:IVA720910 JEW720900:JEW720910 JOS720900:JOS720910 JYO720900:JYO720910 KIK720900:KIK720910 KSG720900:KSG720910 LCC720900:LCC720910 LLY720900:LLY720910 LVU720900:LVU720910 MFQ720900:MFQ720910 MPM720900:MPM720910 MZI720900:MZI720910 NJE720900:NJE720910 NTA720900:NTA720910 OCW720900:OCW720910 OMS720900:OMS720910 OWO720900:OWO720910 PGK720900:PGK720910 PQG720900:PQG720910 QAC720900:QAC720910 QJY720900:QJY720910 QTU720900:QTU720910 RDQ720900:RDQ720910 RNM720900:RNM720910 RXI720900:RXI720910 SHE720900:SHE720910 SRA720900:SRA720910 TAW720900:TAW720910 TKS720900:TKS720910 TUO720900:TUO720910 UEK720900:UEK720910 UOG720900:UOG720910 UYC720900:UYC720910 VHY720900:VHY720910 VRU720900:VRU720910 WBQ720900:WBQ720910 WLM720900:WLM720910 WVI720900:WVI720910 A786436:A786446 IW786436:IW786446 SS786436:SS786446 ACO786436:ACO786446 AMK786436:AMK786446 AWG786436:AWG786446 BGC786436:BGC786446 BPY786436:BPY786446 BZU786436:BZU786446 CJQ786436:CJQ786446 CTM786436:CTM786446 DDI786436:DDI786446 DNE786436:DNE786446 DXA786436:DXA786446 EGW786436:EGW786446 EQS786436:EQS786446 FAO786436:FAO786446 FKK786436:FKK786446 FUG786436:FUG786446 GEC786436:GEC786446 GNY786436:GNY786446 GXU786436:GXU786446 HHQ786436:HHQ786446 HRM786436:HRM786446 IBI786436:IBI786446 ILE786436:ILE786446 IVA786436:IVA786446 JEW786436:JEW786446 JOS786436:JOS786446 JYO786436:JYO786446 KIK786436:KIK786446 KSG786436:KSG786446 LCC786436:LCC786446 LLY786436:LLY786446 LVU786436:LVU786446 MFQ786436:MFQ786446 MPM786436:MPM786446 MZI786436:MZI786446 NJE786436:NJE786446 NTA786436:NTA786446 OCW786436:OCW786446 OMS786436:OMS786446 OWO786436:OWO786446 PGK786436:PGK786446 PQG786436:PQG786446 QAC786436:QAC786446 QJY786436:QJY786446 QTU786436:QTU786446 RDQ786436:RDQ786446 RNM786436:RNM786446 RXI786436:RXI786446 SHE786436:SHE786446 SRA786436:SRA786446 TAW786436:TAW786446 TKS786436:TKS786446 TUO786436:TUO786446 UEK786436:UEK786446 UOG786436:UOG786446 UYC786436:UYC786446 VHY786436:VHY786446 VRU786436:VRU786446 WBQ786436:WBQ786446 WLM786436:WLM786446 WVI786436:WVI786446 A851972:A851982 IW851972:IW851982 SS851972:SS851982 ACO851972:ACO851982 AMK851972:AMK851982 AWG851972:AWG851982 BGC851972:BGC851982 BPY851972:BPY851982 BZU851972:BZU851982 CJQ851972:CJQ851982 CTM851972:CTM851982 DDI851972:DDI851982 DNE851972:DNE851982 DXA851972:DXA851982 EGW851972:EGW851982 EQS851972:EQS851982 FAO851972:FAO851982 FKK851972:FKK851982 FUG851972:FUG851982 GEC851972:GEC851982 GNY851972:GNY851982 GXU851972:GXU851982 HHQ851972:HHQ851982 HRM851972:HRM851982 IBI851972:IBI851982 ILE851972:ILE851982 IVA851972:IVA851982 JEW851972:JEW851982 JOS851972:JOS851982 JYO851972:JYO851982 KIK851972:KIK851982 KSG851972:KSG851982 LCC851972:LCC851982 LLY851972:LLY851982 LVU851972:LVU851982 MFQ851972:MFQ851982 MPM851972:MPM851982 MZI851972:MZI851982 NJE851972:NJE851982 NTA851972:NTA851982 OCW851972:OCW851982 OMS851972:OMS851982 OWO851972:OWO851982 PGK851972:PGK851982 PQG851972:PQG851982 QAC851972:QAC851982 QJY851972:QJY851982 QTU851972:QTU851982 RDQ851972:RDQ851982 RNM851972:RNM851982 RXI851972:RXI851982 SHE851972:SHE851982 SRA851972:SRA851982 TAW851972:TAW851982 TKS851972:TKS851982 TUO851972:TUO851982 UEK851972:UEK851982 UOG851972:UOG851982 UYC851972:UYC851982 VHY851972:VHY851982 VRU851972:VRU851982 WBQ851972:WBQ851982 WLM851972:WLM851982 WVI851972:WVI851982 A917508:A917518 IW917508:IW917518 SS917508:SS917518 ACO917508:ACO917518 AMK917508:AMK917518 AWG917508:AWG917518 BGC917508:BGC917518 BPY917508:BPY917518 BZU917508:BZU917518 CJQ917508:CJQ917518 CTM917508:CTM917518 DDI917508:DDI917518 DNE917508:DNE917518 DXA917508:DXA917518 EGW917508:EGW917518 EQS917508:EQS917518 FAO917508:FAO917518 FKK917508:FKK917518 FUG917508:FUG917518 GEC917508:GEC917518 GNY917508:GNY917518 GXU917508:GXU917518 HHQ917508:HHQ917518 HRM917508:HRM917518 IBI917508:IBI917518 ILE917508:ILE917518 IVA917508:IVA917518 JEW917508:JEW917518 JOS917508:JOS917518 JYO917508:JYO917518 KIK917508:KIK917518 KSG917508:KSG917518 LCC917508:LCC917518 LLY917508:LLY917518 LVU917508:LVU917518 MFQ917508:MFQ917518 MPM917508:MPM917518 MZI917508:MZI917518 NJE917508:NJE917518 NTA917508:NTA917518 OCW917508:OCW917518 OMS917508:OMS917518 OWO917508:OWO917518 PGK917508:PGK917518 PQG917508:PQG917518 QAC917508:QAC917518 QJY917508:QJY917518 QTU917508:QTU917518 RDQ917508:RDQ917518 RNM917508:RNM917518 RXI917508:RXI917518 SHE917508:SHE917518 SRA917508:SRA917518 TAW917508:TAW917518 TKS917508:TKS917518 TUO917508:TUO917518 UEK917508:UEK917518 UOG917508:UOG917518 UYC917508:UYC917518 VHY917508:VHY917518 VRU917508:VRU917518 WBQ917508:WBQ917518 WLM917508:WLM917518 WVI917508:WVI917518 A983044:A983054 IW983044:IW983054 SS983044:SS983054 ACO983044:ACO983054 AMK983044:AMK983054 AWG983044:AWG983054 BGC983044:BGC983054 BPY983044:BPY983054 BZU983044:BZU983054 CJQ983044:CJQ983054 CTM983044:CTM983054 DDI983044:DDI983054 DNE983044:DNE983054 DXA983044:DXA983054 EGW983044:EGW983054 EQS983044:EQS983054 FAO983044:FAO983054 FKK983044:FKK983054 FUG983044:FUG983054 GEC983044:GEC983054 GNY983044:GNY983054 GXU983044:GXU983054 HHQ983044:HHQ983054 HRM983044:HRM983054 IBI983044:IBI983054 ILE983044:ILE983054 IVA983044:IVA983054 JEW983044:JEW983054 JOS983044:JOS983054 JYO983044:JYO983054 KIK983044:KIK983054 KSG983044:KSG983054 LCC983044:LCC983054 LLY983044:LLY983054 LVU983044:LVU983054 MFQ983044:MFQ983054 MPM983044:MPM983054 MZI983044:MZI983054 NJE983044:NJE983054 NTA983044:NTA983054 OCW983044:OCW983054 OMS983044:OMS983054 OWO983044:OWO983054 PGK983044:PGK983054 PQG983044:PQG983054 QAC983044:QAC983054 QJY983044:QJY983054 QTU983044:QTU983054 RDQ983044:RDQ983054 RNM983044:RNM983054 RXI983044:RXI983054 SHE983044:SHE983054 SRA983044:SRA983054 TAW983044:TAW983054 TKS983044:TKS983054 TUO983044:TUO983054 UEK983044:UEK983054 UOG983044:UOG983054 UYC983044:UYC983054 VHY983044:VHY983054 VRU983044:VRU983054 WBQ983044:WBQ983054 WLM983044:WLM983054 WVI983044:WVI983054">
      <formula1>PROYECTO</formula1>
    </dataValidation>
    <dataValidation type="list" allowBlank="1" showInputMessage="1" showErrorMessage="1" sqref="M11:M16 JI11:JI16 TE11:TE16 ADA11:ADA16 AMW11:AMW16 AWS11:AWS16 BGO11:BGO16 BQK11:BQK16 CAG11:CAG16 CKC11:CKC16 CTY11:CTY16 DDU11:DDU16 DNQ11:DNQ16 DXM11:DXM16 EHI11:EHI16 ERE11:ERE16 FBA11:FBA16 FKW11:FKW16 FUS11:FUS16 GEO11:GEO16 GOK11:GOK16 GYG11:GYG16 HIC11:HIC16 HRY11:HRY16 IBU11:IBU16 ILQ11:ILQ16 IVM11:IVM16 JFI11:JFI16 JPE11:JPE16 JZA11:JZA16 KIW11:KIW16 KSS11:KSS16 LCO11:LCO16 LMK11:LMK16 LWG11:LWG16 MGC11:MGC16 MPY11:MPY16 MZU11:MZU16 NJQ11:NJQ16 NTM11:NTM16 ODI11:ODI16 ONE11:ONE16 OXA11:OXA16 PGW11:PGW16 PQS11:PQS16 QAO11:QAO16 QKK11:QKK16 QUG11:QUG16 REC11:REC16 RNY11:RNY16 RXU11:RXU16 SHQ11:SHQ16 SRM11:SRM16 TBI11:TBI16 TLE11:TLE16 TVA11:TVA16 UEW11:UEW16 UOS11:UOS16 UYO11:UYO16 VIK11:VIK16 VSG11:VSG16 WCC11:WCC16 WLY11:WLY16 WVU11:WVU16 M65545:M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M131081:M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M196617:M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M262153:M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M327689:M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M393225:M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M458761:M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M524297:M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M589833:M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M655369:M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M720905:M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M786441:M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M851977:M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M917513:M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M983049:M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formula1>"SI,NO"</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workbookViewId="0">
      <selection sqref="A1:B3"/>
    </sheetView>
  </sheetViews>
  <sheetFormatPr baseColWidth="10" defaultRowHeight="15" x14ac:dyDescent="0.25"/>
  <cols>
    <col min="1" max="1" width="63.5703125" customWidth="1"/>
    <col min="2" max="2" width="29.42578125" customWidth="1"/>
    <col min="3" max="3" width="12.7109375" style="31" hidden="1" customWidth="1"/>
    <col min="4" max="4" width="24" style="31" customWidth="1"/>
    <col min="5" max="5" width="23.85546875" style="31" customWidth="1"/>
    <col min="6" max="6" width="23.140625" style="31" customWidth="1"/>
    <col min="7" max="7" width="13.140625" style="71" customWidth="1"/>
    <col min="8" max="8" width="14.28515625" style="31" customWidth="1"/>
    <col min="9" max="11" width="14.28515625" style="71" customWidth="1"/>
    <col min="12" max="14" width="13.5703125" style="31" customWidth="1"/>
    <col min="15" max="17" width="17.5703125" style="31" customWidth="1"/>
    <col min="18" max="18" width="17.42578125" style="31" customWidth="1"/>
    <col min="19" max="19" width="17.7109375" style="1" customWidth="1"/>
    <col min="257" max="257" width="63.5703125" customWidth="1"/>
    <col min="258" max="258" width="29.42578125" customWidth="1"/>
    <col min="259" max="259" width="0" hidden="1" customWidth="1"/>
    <col min="260" max="260" width="24" customWidth="1"/>
    <col min="261" max="261" width="23.85546875" customWidth="1"/>
    <col min="262" max="262" width="23.140625" customWidth="1"/>
    <col min="263" max="263" width="13.140625" customWidth="1"/>
    <col min="264" max="267" width="14.28515625" customWidth="1"/>
    <col min="268" max="270" width="13.5703125" customWidth="1"/>
    <col min="271" max="273" width="17.5703125" customWidth="1"/>
    <col min="274" max="274" width="17.42578125" customWidth="1"/>
    <col min="275" max="275" width="17.7109375" customWidth="1"/>
    <col min="513" max="513" width="63.5703125" customWidth="1"/>
    <col min="514" max="514" width="29.42578125" customWidth="1"/>
    <col min="515" max="515" width="0" hidden="1" customWidth="1"/>
    <col min="516" max="516" width="24" customWidth="1"/>
    <col min="517" max="517" width="23.85546875" customWidth="1"/>
    <col min="518" max="518" width="23.140625" customWidth="1"/>
    <col min="519" max="519" width="13.140625" customWidth="1"/>
    <col min="520" max="523" width="14.28515625" customWidth="1"/>
    <col min="524" max="526" width="13.5703125" customWidth="1"/>
    <col min="527" max="529" width="17.5703125" customWidth="1"/>
    <col min="530" max="530" width="17.42578125" customWidth="1"/>
    <col min="531" max="531" width="17.7109375" customWidth="1"/>
    <col min="769" max="769" width="63.5703125" customWidth="1"/>
    <col min="770" max="770" width="29.42578125" customWidth="1"/>
    <col min="771" max="771" width="0" hidden="1" customWidth="1"/>
    <col min="772" max="772" width="24" customWidth="1"/>
    <col min="773" max="773" width="23.85546875" customWidth="1"/>
    <col min="774" max="774" width="23.140625" customWidth="1"/>
    <col min="775" max="775" width="13.140625" customWidth="1"/>
    <col min="776" max="779" width="14.28515625" customWidth="1"/>
    <col min="780" max="782" width="13.5703125" customWidth="1"/>
    <col min="783" max="785" width="17.5703125" customWidth="1"/>
    <col min="786" max="786" width="17.42578125" customWidth="1"/>
    <col min="787" max="787" width="17.7109375" customWidth="1"/>
    <col min="1025" max="1025" width="63.5703125" customWidth="1"/>
    <col min="1026" max="1026" width="29.42578125" customWidth="1"/>
    <col min="1027" max="1027" width="0" hidden="1" customWidth="1"/>
    <col min="1028" max="1028" width="24" customWidth="1"/>
    <col min="1029" max="1029" width="23.85546875" customWidth="1"/>
    <col min="1030" max="1030" width="23.140625" customWidth="1"/>
    <col min="1031" max="1031" width="13.140625" customWidth="1"/>
    <col min="1032" max="1035" width="14.28515625" customWidth="1"/>
    <col min="1036" max="1038" width="13.5703125" customWidth="1"/>
    <col min="1039" max="1041" width="17.5703125" customWidth="1"/>
    <col min="1042" max="1042" width="17.42578125" customWidth="1"/>
    <col min="1043" max="1043" width="17.7109375" customWidth="1"/>
    <col min="1281" max="1281" width="63.5703125" customWidth="1"/>
    <col min="1282" max="1282" width="29.42578125" customWidth="1"/>
    <col min="1283" max="1283" width="0" hidden="1" customWidth="1"/>
    <col min="1284" max="1284" width="24" customWidth="1"/>
    <col min="1285" max="1285" width="23.85546875" customWidth="1"/>
    <col min="1286" max="1286" width="23.140625" customWidth="1"/>
    <col min="1287" max="1287" width="13.140625" customWidth="1"/>
    <col min="1288" max="1291" width="14.28515625" customWidth="1"/>
    <col min="1292" max="1294" width="13.5703125" customWidth="1"/>
    <col min="1295" max="1297" width="17.5703125" customWidth="1"/>
    <col min="1298" max="1298" width="17.42578125" customWidth="1"/>
    <col min="1299" max="1299" width="17.7109375" customWidth="1"/>
    <col min="1537" max="1537" width="63.5703125" customWidth="1"/>
    <col min="1538" max="1538" width="29.42578125" customWidth="1"/>
    <col min="1539" max="1539" width="0" hidden="1" customWidth="1"/>
    <col min="1540" max="1540" width="24" customWidth="1"/>
    <col min="1541" max="1541" width="23.85546875" customWidth="1"/>
    <col min="1542" max="1542" width="23.140625" customWidth="1"/>
    <col min="1543" max="1543" width="13.140625" customWidth="1"/>
    <col min="1544" max="1547" width="14.28515625" customWidth="1"/>
    <col min="1548" max="1550" width="13.5703125" customWidth="1"/>
    <col min="1551" max="1553" width="17.5703125" customWidth="1"/>
    <col min="1554" max="1554" width="17.42578125" customWidth="1"/>
    <col min="1555" max="1555" width="17.7109375" customWidth="1"/>
    <col min="1793" max="1793" width="63.5703125" customWidth="1"/>
    <col min="1794" max="1794" width="29.42578125" customWidth="1"/>
    <col min="1795" max="1795" width="0" hidden="1" customWidth="1"/>
    <col min="1796" max="1796" width="24" customWidth="1"/>
    <col min="1797" max="1797" width="23.85546875" customWidth="1"/>
    <col min="1798" max="1798" width="23.140625" customWidth="1"/>
    <col min="1799" max="1799" width="13.140625" customWidth="1"/>
    <col min="1800" max="1803" width="14.28515625" customWidth="1"/>
    <col min="1804" max="1806" width="13.5703125" customWidth="1"/>
    <col min="1807" max="1809" width="17.5703125" customWidth="1"/>
    <col min="1810" max="1810" width="17.42578125" customWidth="1"/>
    <col min="1811" max="1811" width="17.7109375" customWidth="1"/>
    <col min="2049" max="2049" width="63.5703125" customWidth="1"/>
    <col min="2050" max="2050" width="29.42578125" customWidth="1"/>
    <col min="2051" max="2051" width="0" hidden="1" customWidth="1"/>
    <col min="2052" max="2052" width="24" customWidth="1"/>
    <col min="2053" max="2053" width="23.85546875" customWidth="1"/>
    <col min="2054" max="2054" width="23.140625" customWidth="1"/>
    <col min="2055" max="2055" width="13.140625" customWidth="1"/>
    <col min="2056" max="2059" width="14.28515625" customWidth="1"/>
    <col min="2060" max="2062" width="13.5703125" customWidth="1"/>
    <col min="2063" max="2065" width="17.5703125" customWidth="1"/>
    <col min="2066" max="2066" width="17.42578125" customWidth="1"/>
    <col min="2067" max="2067" width="17.7109375" customWidth="1"/>
    <col min="2305" max="2305" width="63.5703125" customWidth="1"/>
    <col min="2306" max="2306" width="29.42578125" customWidth="1"/>
    <col min="2307" max="2307" width="0" hidden="1" customWidth="1"/>
    <col min="2308" max="2308" width="24" customWidth="1"/>
    <col min="2309" max="2309" width="23.85546875" customWidth="1"/>
    <col min="2310" max="2310" width="23.140625" customWidth="1"/>
    <col min="2311" max="2311" width="13.140625" customWidth="1"/>
    <col min="2312" max="2315" width="14.28515625" customWidth="1"/>
    <col min="2316" max="2318" width="13.5703125" customWidth="1"/>
    <col min="2319" max="2321" width="17.5703125" customWidth="1"/>
    <col min="2322" max="2322" width="17.42578125" customWidth="1"/>
    <col min="2323" max="2323" width="17.7109375" customWidth="1"/>
    <col min="2561" max="2561" width="63.5703125" customWidth="1"/>
    <col min="2562" max="2562" width="29.42578125" customWidth="1"/>
    <col min="2563" max="2563" width="0" hidden="1" customWidth="1"/>
    <col min="2564" max="2564" width="24" customWidth="1"/>
    <col min="2565" max="2565" width="23.85546875" customWidth="1"/>
    <col min="2566" max="2566" width="23.140625" customWidth="1"/>
    <col min="2567" max="2567" width="13.140625" customWidth="1"/>
    <col min="2568" max="2571" width="14.28515625" customWidth="1"/>
    <col min="2572" max="2574" width="13.5703125" customWidth="1"/>
    <col min="2575" max="2577" width="17.5703125" customWidth="1"/>
    <col min="2578" max="2578" width="17.42578125" customWidth="1"/>
    <col min="2579" max="2579" width="17.7109375" customWidth="1"/>
    <col min="2817" max="2817" width="63.5703125" customWidth="1"/>
    <col min="2818" max="2818" width="29.42578125" customWidth="1"/>
    <col min="2819" max="2819" width="0" hidden="1" customWidth="1"/>
    <col min="2820" max="2820" width="24" customWidth="1"/>
    <col min="2821" max="2821" width="23.85546875" customWidth="1"/>
    <col min="2822" max="2822" width="23.140625" customWidth="1"/>
    <col min="2823" max="2823" width="13.140625" customWidth="1"/>
    <col min="2824" max="2827" width="14.28515625" customWidth="1"/>
    <col min="2828" max="2830" width="13.5703125" customWidth="1"/>
    <col min="2831" max="2833" width="17.5703125" customWidth="1"/>
    <col min="2834" max="2834" width="17.42578125" customWidth="1"/>
    <col min="2835" max="2835" width="17.7109375" customWidth="1"/>
    <col min="3073" max="3073" width="63.5703125" customWidth="1"/>
    <col min="3074" max="3074" width="29.42578125" customWidth="1"/>
    <col min="3075" max="3075" width="0" hidden="1" customWidth="1"/>
    <col min="3076" max="3076" width="24" customWidth="1"/>
    <col min="3077" max="3077" width="23.85546875" customWidth="1"/>
    <col min="3078" max="3078" width="23.140625" customWidth="1"/>
    <col min="3079" max="3079" width="13.140625" customWidth="1"/>
    <col min="3080" max="3083" width="14.28515625" customWidth="1"/>
    <col min="3084" max="3086" width="13.5703125" customWidth="1"/>
    <col min="3087" max="3089" width="17.5703125" customWidth="1"/>
    <col min="3090" max="3090" width="17.42578125" customWidth="1"/>
    <col min="3091" max="3091" width="17.7109375" customWidth="1"/>
    <col min="3329" max="3329" width="63.5703125" customWidth="1"/>
    <col min="3330" max="3330" width="29.42578125" customWidth="1"/>
    <col min="3331" max="3331" width="0" hidden="1" customWidth="1"/>
    <col min="3332" max="3332" width="24" customWidth="1"/>
    <col min="3333" max="3333" width="23.85546875" customWidth="1"/>
    <col min="3334" max="3334" width="23.140625" customWidth="1"/>
    <col min="3335" max="3335" width="13.140625" customWidth="1"/>
    <col min="3336" max="3339" width="14.28515625" customWidth="1"/>
    <col min="3340" max="3342" width="13.5703125" customWidth="1"/>
    <col min="3343" max="3345" width="17.5703125" customWidth="1"/>
    <col min="3346" max="3346" width="17.42578125" customWidth="1"/>
    <col min="3347" max="3347" width="17.7109375" customWidth="1"/>
    <col min="3585" max="3585" width="63.5703125" customWidth="1"/>
    <col min="3586" max="3586" width="29.42578125" customWidth="1"/>
    <col min="3587" max="3587" width="0" hidden="1" customWidth="1"/>
    <col min="3588" max="3588" width="24" customWidth="1"/>
    <col min="3589" max="3589" width="23.85546875" customWidth="1"/>
    <col min="3590" max="3590" width="23.140625" customWidth="1"/>
    <col min="3591" max="3591" width="13.140625" customWidth="1"/>
    <col min="3592" max="3595" width="14.28515625" customWidth="1"/>
    <col min="3596" max="3598" width="13.5703125" customWidth="1"/>
    <col min="3599" max="3601" width="17.5703125" customWidth="1"/>
    <col min="3602" max="3602" width="17.42578125" customWidth="1"/>
    <col min="3603" max="3603" width="17.7109375" customWidth="1"/>
    <col min="3841" max="3841" width="63.5703125" customWidth="1"/>
    <col min="3842" max="3842" width="29.42578125" customWidth="1"/>
    <col min="3843" max="3843" width="0" hidden="1" customWidth="1"/>
    <col min="3844" max="3844" width="24" customWidth="1"/>
    <col min="3845" max="3845" width="23.85546875" customWidth="1"/>
    <col min="3846" max="3846" width="23.140625" customWidth="1"/>
    <col min="3847" max="3847" width="13.140625" customWidth="1"/>
    <col min="3848" max="3851" width="14.28515625" customWidth="1"/>
    <col min="3852" max="3854" width="13.5703125" customWidth="1"/>
    <col min="3855" max="3857" width="17.5703125" customWidth="1"/>
    <col min="3858" max="3858" width="17.42578125" customWidth="1"/>
    <col min="3859" max="3859" width="17.7109375" customWidth="1"/>
    <col min="4097" max="4097" width="63.5703125" customWidth="1"/>
    <col min="4098" max="4098" width="29.42578125" customWidth="1"/>
    <col min="4099" max="4099" width="0" hidden="1" customWidth="1"/>
    <col min="4100" max="4100" width="24" customWidth="1"/>
    <col min="4101" max="4101" width="23.85546875" customWidth="1"/>
    <col min="4102" max="4102" width="23.140625" customWidth="1"/>
    <col min="4103" max="4103" width="13.140625" customWidth="1"/>
    <col min="4104" max="4107" width="14.28515625" customWidth="1"/>
    <col min="4108" max="4110" width="13.5703125" customWidth="1"/>
    <col min="4111" max="4113" width="17.5703125" customWidth="1"/>
    <col min="4114" max="4114" width="17.42578125" customWidth="1"/>
    <col min="4115" max="4115" width="17.7109375" customWidth="1"/>
    <col min="4353" max="4353" width="63.5703125" customWidth="1"/>
    <col min="4354" max="4354" width="29.42578125" customWidth="1"/>
    <col min="4355" max="4355" width="0" hidden="1" customWidth="1"/>
    <col min="4356" max="4356" width="24" customWidth="1"/>
    <col min="4357" max="4357" width="23.85546875" customWidth="1"/>
    <col min="4358" max="4358" width="23.140625" customWidth="1"/>
    <col min="4359" max="4359" width="13.140625" customWidth="1"/>
    <col min="4360" max="4363" width="14.28515625" customWidth="1"/>
    <col min="4364" max="4366" width="13.5703125" customWidth="1"/>
    <col min="4367" max="4369" width="17.5703125" customWidth="1"/>
    <col min="4370" max="4370" width="17.42578125" customWidth="1"/>
    <col min="4371" max="4371" width="17.7109375" customWidth="1"/>
    <col min="4609" max="4609" width="63.5703125" customWidth="1"/>
    <col min="4610" max="4610" width="29.42578125" customWidth="1"/>
    <col min="4611" max="4611" width="0" hidden="1" customWidth="1"/>
    <col min="4612" max="4612" width="24" customWidth="1"/>
    <col min="4613" max="4613" width="23.85546875" customWidth="1"/>
    <col min="4614" max="4614" width="23.140625" customWidth="1"/>
    <col min="4615" max="4615" width="13.140625" customWidth="1"/>
    <col min="4616" max="4619" width="14.28515625" customWidth="1"/>
    <col min="4620" max="4622" width="13.5703125" customWidth="1"/>
    <col min="4623" max="4625" width="17.5703125" customWidth="1"/>
    <col min="4626" max="4626" width="17.42578125" customWidth="1"/>
    <col min="4627" max="4627" width="17.7109375" customWidth="1"/>
    <col min="4865" max="4865" width="63.5703125" customWidth="1"/>
    <col min="4866" max="4866" width="29.42578125" customWidth="1"/>
    <col min="4867" max="4867" width="0" hidden="1" customWidth="1"/>
    <col min="4868" max="4868" width="24" customWidth="1"/>
    <col min="4869" max="4869" width="23.85546875" customWidth="1"/>
    <col min="4870" max="4870" width="23.140625" customWidth="1"/>
    <col min="4871" max="4871" width="13.140625" customWidth="1"/>
    <col min="4872" max="4875" width="14.28515625" customWidth="1"/>
    <col min="4876" max="4878" width="13.5703125" customWidth="1"/>
    <col min="4879" max="4881" width="17.5703125" customWidth="1"/>
    <col min="4882" max="4882" width="17.42578125" customWidth="1"/>
    <col min="4883" max="4883" width="17.7109375" customWidth="1"/>
    <col min="5121" max="5121" width="63.5703125" customWidth="1"/>
    <col min="5122" max="5122" width="29.42578125" customWidth="1"/>
    <col min="5123" max="5123" width="0" hidden="1" customWidth="1"/>
    <col min="5124" max="5124" width="24" customWidth="1"/>
    <col min="5125" max="5125" width="23.85546875" customWidth="1"/>
    <col min="5126" max="5126" width="23.140625" customWidth="1"/>
    <col min="5127" max="5127" width="13.140625" customWidth="1"/>
    <col min="5128" max="5131" width="14.28515625" customWidth="1"/>
    <col min="5132" max="5134" width="13.5703125" customWidth="1"/>
    <col min="5135" max="5137" width="17.5703125" customWidth="1"/>
    <col min="5138" max="5138" width="17.42578125" customWidth="1"/>
    <col min="5139" max="5139" width="17.7109375" customWidth="1"/>
    <col min="5377" max="5377" width="63.5703125" customWidth="1"/>
    <col min="5378" max="5378" width="29.42578125" customWidth="1"/>
    <col min="5379" max="5379" width="0" hidden="1" customWidth="1"/>
    <col min="5380" max="5380" width="24" customWidth="1"/>
    <col min="5381" max="5381" width="23.85546875" customWidth="1"/>
    <col min="5382" max="5382" width="23.140625" customWidth="1"/>
    <col min="5383" max="5383" width="13.140625" customWidth="1"/>
    <col min="5384" max="5387" width="14.28515625" customWidth="1"/>
    <col min="5388" max="5390" width="13.5703125" customWidth="1"/>
    <col min="5391" max="5393" width="17.5703125" customWidth="1"/>
    <col min="5394" max="5394" width="17.42578125" customWidth="1"/>
    <col min="5395" max="5395" width="17.7109375" customWidth="1"/>
    <col min="5633" max="5633" width="63.5703125" customWidth="1"/>
    <col min="5634" max="5634" width="29.42578125" customWidth="1"/>
    <col min="5635" max="5635" width="0" hidden="1" customWidth="1"/>
    <col min="5636" max="5636" width="24" customWidth="1"/>
    <col min="5637" max="5637" width="23.85546875" customWidth="1"/>
    <col min="5638" max="5638" width="23.140625" customWidth="1"/>
    <col min="5639" max="5639" width="13.140625" customWidth="1"/>
    <col min="5640" max="5643" width="14.28515625" customWidth="1"/>
    <col min="5644" max="5646" width="13.5703125" customWidth="1"/>
    <col min="5647" max="5649" width="17.5703125" customWidth="1"/>
    <col min="5650" max="5650" width="17.42578125" customWidth="1"/>
    <col min="5651" max="5651" width="17.7109375" customWidth="1"/>
    <col min="5889" max="5889" width="63.5703125" customWidth="1"/>
    <col min="5890" max="5890" width="29.42578125" customWidth="1"/>
    <col min="5891" max="5891" width="0" hidden="1" customWidth="1"/>
    <col min="5892" max="5892" width="24" customWidth="1"/>
    <col min="5893" max="5893" width="23.85546875" customWidth="1"/>
    <col min="5894" max="5894" width="23.140625" customWidth="1"/>
    <col min="5895" max="5895" width="13.140625" customWidth="1"/>
    <col min="5896" max="5899" width="14.28515625" customWidth="1"/>
    <col min="5900" max="5902" width="13.5703125" customWidth="1"/>
    <col min="5903" max="5905" width="17.5703125" customWidth="1"/>
    <col min="5906" max="5906" width="17.42578125" customWidth="1"/>
    <col min="5907" max="5907" width="17.7109375" customWidth="1"/>
    <col min="6145" max="6145" width="63.5703125" customWidth="1"/>
    <col min="6146" max="6146" width="29.42578125" customWidth="1"/>
    <col min="6147" max="6147" width="0" hidden="1" customWidth="1"/>
    <col min="6148" max="6148" width="24" customWidth="1"/>
    <col min="6149" max="6149" width="23.85546875" customWidth="1"/>
    <col min="6150" max="6150" width="23.140625" customWidth="1"/>
    <col min="6151" max="6151" width="13.140625" customWidth="1"/>
    <col min="6152" max="6155" width="14.28515625" customWidth="1"/>
    <col min="6156" max="6158" width="13.5703125" customWidth="1"/>
    <col min="6159" max="6161" width="17.5703125" customWidth="1"/>
    <col min="6162" max="6162" width="17.42578125" customWidth="1"/>
    <col min="6163" max="6163" width="17.7109375" customWidth="1"/>
    <col min="6401" max="6401" width="63.5703125" customWidth="1"/>
    <col min="6402" max="6402" width="29.42578125" customWidth="1"/>
    <col min="6403" max="6403" width="0" hidden="1" customWidth="1"/>
    <col min="6404" max="6404" width="24" customWidth="1"/>
    <col min="6405" max="6405" width="23.85546875" customWidth="1"/>
    <col min="6406" max="6406" width="23.140625" customWidth="1"/>
    <col min="6407" max="6407" width="13.140625" customWidth="1"/>
    <col min="6408" max="6411" width="14.28515625" customWidth="1"/>
    <col min="6412" max="6414" width="13.5703125" customWidth="1"/>
    <col min="6415" max="6417" width="17.5703125" customWidth="1"/>
    <col min="6418" max="6418" width="17.42578125" customWidth="1"/>
    <col min="6419" max="6419" width="17.7109375" customWidth="1"/>
    <col min="6657" max="6657" width="63.5703125" customWidth="1"/>
    <col min="6658" max="6658" width="29.42578125" customWidth="1"/>
    <col min="6659" max="6659" width="0" hidden="1" customWidth="1"/>
    <col min="6660" max="6660" width="24" customWidth="1"/>
    <col min="6661" max="6661" width="23.85546875" customWidth="1"/>
    <col min="6662" max="6662" width="23.140625" customWidth="1"/>
    <col min="6663" max="6663" width="13.140625" customWidth="1"/>
    <col min="6664" max="6667" width="14.28515625" customWidth="1"/>
    <col min="6668" max="6670" width="13.5703125" customWidth="1"/>
    <col min="6671" max="6673" width="17.5703125" customWidth="1"/>
    <col min="6674" max="6674" width="17.42578125" customWidth="1"/>
    <col min="6675" max="6675" width="17.7109375" customWidth="1"/>
    <col min="6913" max="6913" width="63.5703125" customWidth="1"/>
    <col min="6914" max="6914" width="29.42578125" customWidth="1"/>
    <col min="6915" max="6915" width="0" hidden="1" customWidth="1"/>
    <col min="6916" max="6916" width="24" customWidth="1"/>
    <col min="6917" max="6917" width="23.85546875" customWidth="1"/>
    <col min="6918" max="6918" width="23.140625" customWidth="1"/>
    <col min="6919" max="6919" width="13.140625" customWidth="1"/>
    <col min="6920" max="6923" width="14.28515625" customWidth="1"/>
    <col min="6924" max="6926" width="13.5703125" customWidth="1"/>
    <col min="6927" max="6929" width="17.5703125" customWidth="1"/>
    <col min="6930" max="6930" width="17.42578125" customWidth="1"/>
    <col min="6931" max="6931" width="17.7109375" customWidth="1"/>
    <col min="7169" max="7169" width="63.5703125" customWidth="1"/>
    <col min="7170" max="7170" width="29.42578125" customWidth="1"/>
    <col min="7171" max="7171" width="0" hidden="1" customWidth="1"/>
    <col min="7172" max="7172" width="24" customWidth="1"/>
    <col min="7173" max="7173" width="23.85546875" customWidth="1"/>
    <col min="7174" max="7174" width="23.140625" customWidth="1"/>
    <col min="7175" max="7175" width="13.140625" customWidth="1"/>
    <col min="7176" max="7179" width="14.28515625" customWidth="1"/>
    <col min="7180" max="7182" width="13.5703125" customWidth="1"/>
    <col min="7183" max="7185" width="17.5703125" customWidth="1"/>
    <col min="7186" max="7186" width="17.42578125" customWidth="1"/>
    <col min="7187" max="7187" width="17.7109375" customWidth="1"/>
    <col min="7425" max="7425" width="63.5703125" customWidth="1"/>
    <col min="7426" max="7426" width="29.42578125" customWidth="1"/>
    <col min="7427" max="7427" width="0" hidden="1" customWidth="1"/>
    <col min="7428" max="7428" width="24" customWidth="1"/>
    <col min="7429" max="7429" width="23.85546875" customWidth="1"/>
    <col min="7430" max="7430" width="23.140625" customWidth="1"/>
    <col min="7431" max="7431" width="13.140625" customWidth="1"/>
    <col min="7432" max="7435" width="14.28515625" customWidth="1"/>
    <col min="7436" max="7438" width="13.5703125" customWidth="1"/>
    <col min="7439" max="7441" width="17.5703125" customWidth="1"/>
    <col min="7442" max="7442" width="17.42578125" customWidth="1"/>
    <col min="7443" max="7443" width="17.7109375" customWidth="1"/>
    <col min="7681" max="7681" width="63.5703125" customWidth="1"/>
    <col min="7682" max="7682" width="29.42578125" customWidth="1"/>
    <col min="7683" max="7683" width="0" hidden="1" customWidth="1"/>
    <col min="7684" max="7684" width="24" customWidth="1"/>
    <col min="7685" max="7685" width="23.85546875" customWidth="1"/>
    <col min="7686" max="7686" width="23.140625" customWidth="1"/>
    <col min="7687" max="7687" width="13.140625" customWidth="1"/>
    <col min="7688" max="7691" width="14.28515625" customWidth="1"/>
    <col min="7692" max="7694" width="13.5703125" customWidth="1"/>
    <col min="7695" max="7697" width="17.5703125" customWidth="1"/>
    <col min="7698" max="7698" width="17.42578125" customWidth="1"/>
    <col min="7699" max="7699" width="17.7109375" customWidth="1"/>
    <col min="7937" max="7937" width="63.5703125" customWidth="1"/>
    <col min="7938" max="7938" width="29.42578125" customWidth="1"/>
    <col min="7939" max="7939" width="0" hidden="1" customWidth="1"/>
    <col min="7940" max="7940" width="24" customWidth="1"/>
    <col min="7941" max="7941" width="23.85546875" customWidth="1"/>
    <col min="7942" max="7942" width="23.140625" customWidth="1"/>
    <col min="7943" max="7943" width="13.140625" customWidth="1"/>
    <col min="7944" max="7947" width="14.28515625" customWidth="1"/>
    <col min="7948" max="7950" width="13.5703125" customWidth="1"/>
    <col min="7951" max="7953" width="17.5703125" customWidth="1"/>
    <col min="7954" max="7954" width="17.42578125" customWidth="1"/>
    <col min="7955" max="7955" width="17.7109375" customWidth="1"/>
    <col min="8193" max="8193" width="63.5703125" customWidth="1"/>
    <col min="8194" max="8194" width="29.42578125" customWidth="1"/>
    <col min="8195" max="8195" width="0" hidden="1" customWidth="1"/>
    <col min="8196" max="8196" width="24" customWidth="1"/>
    <col min="8197" max="8197" width="23.85546875" customWidth="1"/>
    <col min="8198" max="8198" width="23.140625" customWidth="1"/>
    <col min="8199" max="8199" width="13.140625" customWidth="1"/>
    <col min="8200" max="8203" width="14.28515625" customWidth="1"/>
    <col min="8204" max="8206" width="13.5703125" customWidth="1"/>
    <col min="8207" max="8209" width="17.5703125" customWidth="1"/>
    <col min="8210" max="8210" width="17.42578125" customWidth="1"/>
    <col min="8211" max="8211" width="17.7109375" customWidth="1"/>
    <col min="8449" max="8449" width="63.5703125" customWidth="1"/>
    <col min="8450" max="8450" width="29.42578125" customWidth="1"/>
    <col min="8451" max="8451" width="0" hidden="1" customWidth="1"/>
    <col min="8452" max="8452" width="24" customWidth="1"/>
    <col min="8453" max="8453" width="23.85546875" customWidth="1"/>
    <col min="8454" max="8454" width="23.140625" customWidth="1"/>
    <col min="8455" max="8455" width="13.140625" customWidth="1"/>
    <col min="8456" max="8459" width="14.28515625" customWidth="1"/>
    <col min="8460" max="8462" width="13.5703125" customWidth="1"/>
    <col min="8463" max="8465" width="17.5703125" customWidth="1"/>
    <col min="8466" max="8466" width="17.42578125" customWidth="1"/>
    <col min="8467" max="8467" width="17.7109375" customWidth="1"/>
    <col min="8705" max="8705" width="63.5703125" customWidth="1"/>
    <col min="8706" max="8706" width="29.42578125" customWidth="1"/>
    <col min="8707" max="8707" width="0" hidden="1" customWidth="1"/>
    <col min="8708" max="8708" width="24" customWidth="1"/>
    <col min="8709" max="8709" width="23.85546875" customWidth="1"/>
    <col min="8710" max="8710" width="23.140625" customWidth="1"/>
    <col min="8711" max="8711" width="13.140625" customWidth="1"/>
    <col min="8712" max="8715" width="14.28515625" customWidth="1"/>
    <col min="8716" max="8718" width="13.5703125" customWidth="1"/>
    <col min="8719" max="8721" width="17.5703125" customWidth="1"/>
    <col min="8722" max="8722" width="17.42578125" customWidth="1"/>
    <col min="8723" max="8723" width="17.7109375" customWidth="1"/>
    <col min="8961" max="8961" width="63.5703125" customWidth="1"/>
    <col min="8962" max="8962" width="29.42578125" customWidth="1"/>
    <col min="8963" max="8963" width="0" hidden="1" customWidth="1"/>
    <col min="8964" max="8964" width="24" customWidth="1"/>
    <col min="8965" max="8965" width="23.85546875" customWidth="1"/>
    <col min="8966" max="8966" width="23.140625" customWidth="1"/>
    <col min="8967" max="8967" width="13.140625" customWidth="1"/>
    <col min="8968" max="8971" width="14.28515625" customWidth="1"/>
    <col min="8972" max="8974" width="13.5703125" customWidth="1"/>
    <col min="8975" max="8977" width="17.5703125" customWidth="1"/>
    <col min="8978" max="8978" width="17.42578125" customWidth="1"/>
    <col min="8979" max="8979" width="17.7109375" customWidth="1"/>
    <col min="9217" max="9217" width="63.5703125" customWidth="1"/>
    <col min="9218" max="9218" width="29.42578125" customWidth="1"/>
    <col min="9219" max="9219" width="0" hidden="1" customWidth="1"/>
    <col min="9220" max="9220" width="24" customWidth="1"/>
    <col min="9221" max="9221" width="23.85546875" customWidth="1"/>
    <col min="9222" max="9222" width="23.140625" customWidth="1"/>
    <col min="9223" max="9223" width="13.140625" customWidth="1"/>
    <col min="9224" max="9227" width="14.28515625" customWidth="1"/>
    <col min="9228" max="9230" width="13.5703125" customWidth="1"/>
    <col min="9231" max="9233" width="17.5703125" customWidth="1"/>
    <col min="9234" max="9234" width="17.42578125" customWidth="1"/>
    <col min="9235" max="9235" width="17.7109375" customWidth="1"/>
    <col min="9473" max="9473" width="63.5703125" customWidth="1"/>
    <col min="9474" max="9474" width="29.42578125" customWidth="1"/>
    <col min="9475" max="9475" width="0" hidden="1" customWidth="1"/>
    <col min="9476" max="9476" width="24" customWidth="1"/>
    <col min="9477" max="9477" width="23.85546875" customWidth="1"/>
    <col min="9478" max="9478" width="23.140625" customWidth="1"/>
    <col min="9479" max="9479" width="13.140625" customWidth="1"/>
    <col min="9480" max="9483" width="14.28515625" customWidth="1"/>
    <col min="9484" max="9486" width="13.5703125" customWidth="1"/>
    <col min="9487" max="9489" width="17.5703125" customWidth="1"/>
    <col min="9490" max="9490" width="17.42578125" customWidth="1"/>
    <col min="9491" max="9491" width="17.7109375" customWidth="1"/>
    <col min="9729" max="9729" width="63.5703125" customWidth="1"/>
    <col min="9730" max="9730" width="29.42578125" customWidth="1"/>
    <col min="9731" max="9731" width="0" hidden="1" customWidth="1"/>
    <col min="9732" max="9732" width="24" customWidth="1"/>
    <col min="9733" max="9733" width="23.85546875" customWidth="1"/>
    <col min="9734" max="9734" width="23.140625" customWidth="1"/>
    <col min="9735" max="9735" width="13.140625" customWidth="1"/>
    <col min="9736" max="9739" width="14.28515625" customWidth="1"/>
    <col min="9740" max="9742" width="13.5703125" customWidth="1"/>
    <col min="9743" max="9745" width="17.5703125" customWidth="1"/>
    <col min="9746" max="9746" width="17.42578125" customWidth="1"/>
    <col min="9747" max="9747" width="17.7109375" customWidth="1"/>
    <col min="9985" max="9985" width="63.5703125" customWidth="1"/>
    <col min="9986" max="9986" width="29.42578125" customWidth="1"/>
    <col min="9987" max="9987" width="0" hidden="1" customWidth="1"/>
    <col min="9988" max="9988" width="24" customWidth="1"/>
    <col min="9989" max="9989" width="23.85546875" customWidth="1"/>
    <col min="9990" max="9990" width="23.140625" customWidth="1"/>
    <col min="9991" max="9991" width="13.140625" customWidth="1"/>
    <col min="9992" max="9995" width="14.28515625" customWidth="1"/>
    <col min="9996" max="9998" width="13.5703125" customWidth="1"/>
    <col min="9999" max="10001" width="17.5703125" customWidth="1"/>
    <col min="10002" max="10002" width="17.42578125" customWidth="1"/>
    <col min="10003" max="10003" width="17.7109375" customWidth="1"/>
    <col min="10241" max="10241" width="63.5703125" customWidth="1"/>
    <col min="10242" max="10242" width="29.42578125" customWidth="1"/>
    <col min="10243" max="10243" width="0" hidden="1" customWidth="1"/>
    <col min="10244" max="10244" width="24" customWidth="1"/>
    <col min="10245" max="10245" width="23.85546875" customWidth="1"/>
    <col min="10246" max="10246" width="23.140625" customWidth="1"/>
    <col min="10247" max="10247" width="13.140625" customWidth="1"/>
    <col min="10248" max="10251" width="14.28515625" customWidth="1"/>
    <col min="10252" max="10254" width="13.5703125" customWidth="1"/>
    <col min="10255" max="10257" width="17.5703125" customWidth="1"/>
    <col min="10258" max="10258" width="17.42578125" customWidth="1"/>
    <col min="10259" max="10259" width="17.7109375" customWidth="1"/>
    <col min="10497" max="10497" width="63.5703125" customWidth="1"/>
    <col min="10498" max="10498" width="29.42578125" customWidth="1"/>
    <col min="10499" max="10499" width="0" hidden="1" customWidth="1"/>
    <col min="10500" max="10500" width="24" customWidth="1"/>
    <col min="10501" max="10501" width="23.85546875" customWidth="1"/>
    <col min="10502" max="10502" width="23.140625" customWidth="1"/>
    <col min="10503" max="10503" width="13.140625" customWidth="1"/>
    <col min="10504" max="10507" width="14.28515625" customWidth="1"/>
    <col min="10508" max="10510" width="13.5703125" customWidth="1"/>
    <col min="10511" max="10513" width="17.5703125" customWidth="1"/>
    <col min="10514" max="10514" width="17.42578125" customWidth="1"/>
    <col min="10515" max="10515" width="17.7109375" customWidth="1"/>
    <col min="10753" max="10753" width="63.5703125" customWidth="1"/>
    <col min="10754" max="10754" width="29.42578125" customWidth="1"/>
    <col min="10755" max="10755" width="0" hidden="1" customWidth="1"/>
    <col min="10756" max="10756" width="24" customWidth="1"/>
    <col min="10757" max="10757" width="23.85546875" customWidth="1"/>
    <col min="10758" max="10758" width="23.140625" customWidth="1"/>
    <col min="10759" max="10759" width="13.140625" customWidth="1"/>
    <col min="10760" max="10763" width="14.28515625" customWidth="1"/>
    <col min="10764" max="10766" width="13.5703125" customWidth="1"/>
    <col min="10767" max="10769" width="17.5703125" customWidth="1"/>
    <col min="10770" max="10770" width="17.42578125" customWidth="1"/>
    <col min="10771" max="10771" width="17.7109375" customWidth="1"/>
    <col min="11009" max="11009" width="63.5703125" customWidth="1"/>
    <col min="11010" max="11010" width="29.42578125" customWidth="1"/>
    <col min="11011" max="11011" width="0" hidden="1" customWidth="1"/>
    <col min="11012" max="11012" width="24" customWidth="1"/>
    <col min="11013" max="11013" width="23.85546875" customWidth="1"/>
    <col min="11014" max="11014" width="23.140625" customWidth="1"/>
    <col min="11015" max="11015" width="13.140625" customWidth="1"/>
    <col min="11016" max="11019" width="14.28515625" customWidth="1"/>
    <col min="11020" max="11022" width="13.5703125" customWidth="1"/>
    <col min="11023" max="11025" width="17.5703125" customWidth="1"/>
    <col min="11026" max="11026" width="17.42578125" customWidth="1"/>
    <col min="11027" max="11027" width="17.7109375" customWidth="1"/>
    <col min="11265" max="11265" width="63.5703125" customWidth="1"/>
    <col min="11266" max="11266" width="29.42578125" customWidth="1"/>
    <col min="11267" max="11267" width="0" hidden="1" customWidth="1"/>
    <col min="11268" max="11268" width="24" customWidth="1"/>
    <col min="11269" max="11269" width="23.85546875" customWidth="1"/>
    <col min="11270" max="11270" width="23.140625" customWidth="1"/>
    <col min="11271" max="11271" width="13.140625" customWidth="1"/>
    <col min="11272" max="11275" width="14.28515625" customWidth="1"/>
    <col min="11276" max="11278" width="13.5703125" customWidth="1"/>
    <col min="11279" max="11281" width="17.5703125" customWidth="1"/>
    <col min="11282" max="11282" width="17.42578125" customWidth="1"/>
    <col min="11283" max="11283" width="17.7109375" customWidth="1"/>
    <col min="11521" max="11521" width="63.5703125" customWidth="1"/>
    <col min="11522" max="11522" width="29.42578125" customWidth="1"/>
    <col min="11523" max="11523" width="0" hidden="1" customWidth="1"/>
    <col min="11524" max="11524" width="24" customWidth="1"/>
    <col min="11525" max="11525" width="23.85546875" customWidth="1"/>
    <col min="11526" max="11526" width="23.140625" customWidth="1"/>
    <col min="11527" max="11527" width="13.140625" customWidth="1"/>
    <col min="11528" max="11531" width="14.28515625" customWidth="1"/>
    <col min="11532" max="11534" width="13.5703125" customWidth="1"/>
    <col min="11535" max="11537" width="17.5703125" customWidth="1"/>
    <col min="11538" max="11538" width="17.42578125" customWidth="1"/>
    <col min="11539" max="11539" width="17.7109375" customWidth="1"/>
    <col min="11777" max="11777" width="63.5703125" customWidth="1"/>
    <col min="11778" max="11778" width="29.42578125" customWidth="1"/>
    <col min="11779" max="11779" width="0" hidden="1" customWidth="1"/>
    <col min="11780" max="11780" width="24" customWidth="1"/>
    <col min="11781" max="11781" width="23.85546875" customWidth="1"/>
    <col min="11782" max="11782" width="23.140625" customWidth="1"/>
    <col min="11783" max="11783" width="13.140625" customWidth="1"/>
    <col min="11784" max="11787" width="14.28515625" customWidth="1"/>
    <col min="11788" max="11790" width="13.5703125" customWidth="1"/>
    <col min="11791" max="11793" width="17.5703125" customWidth="1"/>
    <col min="11794" max="11794" width="17.42578125" customWidth="1"/>
    <col min="11795" max="11795" width="17.7109375" customWidth="1"/>
    <col min="12033" max="12033" width="63.5703125" customWidth="1"/>
    <col min="12034" max="12034" width="29.42578125" customWidth="1"/>
    <col min="12035" max="12035" width="0" hidden="1" customWidth="1"/>
    <col min="12036" max="12036" width="24" customWidth="1"/>
    <col min="12037" max="12037" width="23.85546875" customWidth="1"/>
    <col min="12038" max="12038" width="23.140625" customWidth="1"/>
    <col min="12039" max="12039" width="13.140625" customWidth="1"/>
    <col min="12040" max="12043" width="14.28515625" customWidth="1"/>
    <col min="12044" max="12046" width="13.5703125" customWidth="1"/>
    <col min="12047" max="12049" width="17.5703125" customWidth="1"/>
    <col min="12050" max="12050" width="17.42578125" customWidth="1"/>
    <col min="12051" max="12051" width="17.7109375" customWidth="1"/>
    <col min="12289" max="12289" width="63.5703125" customWidth="1"/>
    <col min="12290" max="12290" width="29.42578125" customWidth="1"/>
    <col min="12291" max="12291" width="0" hidden="1" customWidth="1"/>
    <col min="12292" max="12292" width="24" customWidth="1"/>
    <col min="12293" max="12293" width="23.85546875" customWidth="1"/>
    <col min="12294" max="12294" width="23.140625" customWidth="1"/>
    <col min="12295" max="12295" width="13.140625" customWidth="1"/>
    <col min="12296" max="12299" width="14.28515625" customWidth="1"/>
    <col min="12300" max="12302" width="13.5703125" customWidth="1"/>
    <col min="12303" max="12305" width="17.5703125" customWidth="1"/>
    <col min="12306" max="12306" width="17.42578125" customWidth="1"/>
    <col min="12307" max="12307" width="17.7109375" customWidth="1"/>
    <col min="12545" max="12545" width="63.5703125" customWidth="1"/>
    <col min="12546" max="12546" width="29.42578125" customWidth="1"/>
    <col min="12547" max="12547" width="0" hidden="1" customWidth="1"/>
    <col min="12548" max="12548" width="24" customWidth="1"/>
    <col min="12549" max="12549" width="23.85546875" customWidth="1"/>
    <col min="12550" max="12550" width="23.140625" customWidth="1"/>
    <col min="12551" max="12551" width="13.140625" customWidth="1"/>
    <col min="12552" max="12555" width="14.28515625" customWidth="1"/>
    <col min="12556" max="12558" width="13.5703125" customWidth="1"/>
    <col min="12559" max="12561" width="17.5703125" customWidth="1"/>
    <col min="12562" max="12562" width="17.42578125" customWidth="1"/>
    <col min="12563" max="12563" width="17.7109375" customWidth="1"/>
    <col min="12801" max="12801" width="63.5703125" customWidth="1"/>
    <col min="12802" max="12802" width="29.42578125" customWidth="1"/>
    <col min="12803" max="12803" width="0" hidden="1" customWidth="1"/>
    <col min="12804" max="12804" width="24" customWidth="1"/>
    <col min="12805" max="12805" width="23.85546875" customWidth="1"/>
    <col min="12806" max="12806" width="23.140625" customWidth="1"/>
    <col min="12807" max="12807" width="13.140625" customWidth="1"/>
    <col min="12808" max="12811" width="14.28515625" customWidth="1"/>
    <col min="12812" max="12814" width="13.5703125" customWidth="1"/>
    <col min="12815" max="12817" width="17.5703125" customWidth="1"/>
    <col min="12818" max="12818" width="17.42578125" customWidth="1"/>
    <col min="12819" max="12819" width="17.7109375" customWidth="1"/>
    <col min="13057" max="13057" width="63.5703125" customWidth="1"/>
    <col min="13058" max="13058" width="29.42578125" customWidth="1"/>
    <col min="13059" max="13059" width="0" hidden="1" customWidth="1"/>
    <col min="13060" max="13060" width="24" customWidth="1"/>
    <col min="13061" max="13061" width="23.85546875" customWidth="1"/>
    <col min="13062" max="13062" width="23.140625" customWidth="1"/>
    <col min="13063" max="13063" width="13.140625" customWidth="1"/>
    <col min="13064" max="13067" width="14.28515625" customWidth="1"/>
    <col min="13068" max="13070" width="13.5703125" customWidth="1"/>
    <col min="13071" max="13073" width="17.5703125" customWidth="1"/>
    <col min="13074" max="13074" width="17.42578125" customWidth="1"/>
    <col min="13075" max="13075" width="17.7109375" customWidth="1"/>
    <col min="13313" max="13313" width="63.5703125" customWidth="1"/>
    <col min="13314" max="13314" width="29.42578125" customWidth="1"/>
    <col min="13315" max="13315" width="0" hidden="1" customWidth="1"/>
    <col min="13316" max="13316" width="24" customWidth="1"/>
    <col min="13317" max="13317" width="23.85546875" customWidth="1"/>
    <col min="13318" max="13318" width="23.140625" customWidth="1"/>
    <col min="13319" max="13319" width="13.140625" customWidth="1"/>
    <col min="13320" max="13323" width="14.28515625" customWidth="1"/>
    <col min="13324" max="13326" width="13.5703125" customWidth="1"/>
    <col min="13327" max="13329" width="17.5703125" customWidth="1"/>
    <col min="13330" max="13330" width="17.42578125" customWidth="1"/>
    <col min="13331" max="13331" width="17.7109375" customWidth="1"/>
    <col min="13569" max="13569" width="63.5703125" customWidth="1"/>
    <col min="13570" max="13570" width="29.42578125" customWidth="1"/>
    <col min="13571" max="13571" width="0" hidden="1" customWidth="1"/>
    <col min="13572" max="13572" width="24" customWidth="1"/>
    <col min="13573" max="13573" width="23.85546875" customWidth="1"/>
    <col min="13574" max="13574" width="23.140625" customWidth="1"/>
    <col min="13575" max="13575" width="13.140625" customWidth="1"/>
    <col min="13576" max="13579" width="14.28515625" customWidth="1"/>
    <col min="13580" max="13582" width="13.5703125" customWidth="1"/>
    <col min="13583" max="13585" width="17.5703125" customWidth="1"/>
    <col min="13586" max="13586" width="17.42578125" customWidth="1"/>
    <col min="13587" max="13587" width="17.7109375" customWidth="1"/>
    <col min="13825" max="13825" width="63.5703125" customWidth="1"/>
    <col min="13826" max="13826" width="29.42578125" customWidth="1"/>
    <col min="13827" max="13827" width="0" hidden="1" customWidth="1"/>
    <col min="13828" max="13828" width="24" customWidth="1"/>
    <col min="13829" max="13829" width="23.85546875" customWidth="1"/>
    <col min="13830" max="13830" width="23.140625" customWidth="1"/>
    <col min="13831" max="13831" width="13.140625" customWidth="1"/>
    <col min="13832" max="13835" width="14.28515625" customWidth="1"/>
    <col min="13836" max="13838" width="13.5703125" customWidth="1"/>
    <col min="13839" max="13841" width="17.5703125" customWidth="1"/>
    <col min="13842" max="13842" width="17.42578125" customWidth="1"/>
    <col min="13843" max="13843" width="17.7109375" customWidth="1"/>
    <col min="14081" max="14081" width="63.5703125" customWidth="1"/>
    <col min="14082" max="14082" width="29.42578125" customWidth="1"/>
    <col min="14083" max="14083" width="0" hidden="1" customWidth="1"/>
    <col min="14084" max="14084" width="24" customWidth="1"/>
    <col min="14085" max="14085" width="23.85546875" customWidth="1"/>
    <col min="14086" max="14086" width="23.140625" customWidth="1"/>
    <col min="14087" max="14087" width="13.140625" customWidth="1"/>
    <col min="14088" max="14091" width="14.28515625" customWidth="1"/>
    <col min="14092" max="14094" width="13.5703125" customWidth="1"/>
    <col min="14095" max="14097" width="17.5703125" customWidth="1"/>
    <col min="14098" max="14098" width="17.42578125" customWidth="1"/>
    <col min="14099" max="14099" width="17.7109375" customWidth="1"/>
    <col min="14337" max="14337" width="63.5703125" customWidth="1"/>
    <col min="14338" max="14338" width="29.42578125" customWidth="1"/>
    <col min="14339" max="14339" width="0" hidden="1" customWidth="1"/>
    <col min="14340" max="14340" width="24" customWidth="1"/>
    <col min="14341" max="14341" width="23.85546875" customWidth="1"/>
    <col min="14342" max="14342" width="23.140625" customWidth="1"/>
    <col min="14343" max="14343" width="13.140625" customWidth="1"/>
    <col min="14344" max="14347" width="14.28515625" customWidth="1"/>
    <col min="14348" max="14350" width="13.5703125" customWidth="1"/>
    <col min="14351" max="14353" width="17.5703125" customWidth="1"/>
    <col min="14354" max="14354" width="17.42578125" customWidth="1"/>
    <col min="14355" max="14355" width="17.7109375" customWidth="1"/>
    <col min="14593" max="14593" width="63.5703125" customWidth="1"/>
    <col min="14594" max="14594" width="29.42578125" customWidth="1"/>
    <col min="14595" max="14595" width="0" hidden="1" customWidth="1"/>
    <col min="14596" max="14596" width="24" customWidth="1"/>
    <col min="14597" max="14597" width="23.85546875" customWidth="1"/>
    <col min="14598" max="14598" width="23.140625" customWidth="1"/>
    <col min="14599" max="14599" width="13.140625" customWidth="1"/>
    <col min="14600" max="14603" width="14.28515625" customWidth="1"/>
    <col min="14604" max="14606" width="13.5703125" customWidth="1"/>
    <col min="14607" max="14609" width="17.5703125" customWidth="1"/>
    <col min="14610" max="14610" width="17.42578125" customWidth="1"/>
    <col min="14611" max="14611" width="17.7109375" customWidth="1"/>
    <col min="14849" max="14849" width="63.5703125" customWidth="1"/>
    <col min="14850" max="14850" width="29.42578125" customWidth="1"/>
    <col min="14851" max="14851" width="0" hidden="1" customWidth="1"/>
    <col min="14852" max="14852" width="24" customWidth="1"/>
    <col min="14853" max="14853" width="23.85546875" customWidth="1"/>
    <col min="14854" max="14854" width="23.140625" customWidth="1"/>
    <col min="14855" max="14855" width="13.140625" customWidth="1"/>
    <col min="14856" max="14859" width="14.28515625" customWidth="1"/>
    <col min="14860" max="14862" width="13.5703125" customWidth="1"/>
    <col min="14863" max="14865" width="17.5703125" customWidth="1"/>
    <col min="14866" max="14866" width="17.42578125" customWidth="1"/>
    <col min="14867" max="14867" width="17.7109375" customWidth="1"/>
    <col min="15105" max="15105" width="63.5703125" customWidth="1"/>
    <col min="15106" max="15106" width="29.42578125" customWidth="1"/>
    <col min="15107" max="15107" width="0" hidden="1" customWidth="1"/>
    <col min="15108" max="15108" width="24" customWidth="1"/>
    <col min="15109" max="15109" width="23.85546875" customWidth="1"/>
    <col min="15110" max="15110" width="23.140625" customWidth="1"/>
    <col min="15111" max="15111" width="13.140625" customWidth="1"/>
    <col min="15112" max="15115" width="14.28515625" customWidth="1"/>
    <col min="15116" max="15118" width="13.5703125" customWidth="1"/>
    <col min="15119" max="15121" width="17.5703125" customWidth="1"/>
    <col min="15122" max="15122" width="17.42578125" customWidth="1"/>
    <col min="15123" max="15123" width="17.7109375" customWidth="1"/>
    <col min="15361" max="15361" width="63.5703125" customWidth="1"/>
    <col min="15362" max="15362" width="29.42578125" customWidth="1"/>
    <col min="15363" max="15363" width="0" hidden="1" customWidth="1"/>
    <col min="15364" max="15364" width="24" customWidth="1"/>
    <col min="15365" max="15365" width="23.85546875" customWidth="1"/>
    <col min="15366" max="15366" width="23.140625" customWidth="1"/>
    <col min="15367" max="15367" width="13.140625" customWidth="1"/>
    <col min="15368" max="15371" width="14.28515625" customWidth="1"/>
    <col min="15372" max="15374" width="13.5703125" customWidth="1"/>
    <col min="15375" max="15377" width="17.5703125" customWidth="1"/>
    <col min="15378" max="15378" width="17.42578125" customWidth="1"/>
    <col min="15379" max="15379" width="17.7109375" customWidth="1"/>
    <col min="15617" max="15617" width="63.5703125" customWidth="1"/>
    <col min="15618" max="15618" width="29.42578125" customWidth="1"/>
    <col min="15619" max="15619" width="0" hidden="1" customWidth="1"/>
    <col min="15620" max="15620" width="24" customWidth="1"/>
    <col min="15621" max="15621" width="23.85546875" customWidth="1"/>
    <col min="15622" max="15622" width="23.140625" customWidth="1"/>
    <col min="15623" max="15623" width="13.140625" customWidth="1"/>
    <col min="15624" max="15627" width="14.28515625" customWidth="1"/>
    <col min="15628" max="15630" width="13.5703125" customWidth="1"/>
    <col min="15631" max="15633" width="17.5703125" customWidth="1"/>
    <col min="15634" max="15634" width="17.42578125" customWidth="1"/>
    <col min="15635" max="15635" width="17.7109375" customWidth="1"/>
    <col min="15873" max="15873" width="63.5703125" customWidth="1"/>
    <col min="15874" max="15874" width="29.42578125" customWidth="1"/>
    <col min="15875" max="15875" width="0" hidden="1" customWidth="1"/>
    <col min="15876" max="15876" width="24" customWidth="1"/>
    <col min="15877" max="15877" width="23.85546875" customWidth="1"/>
    <col min="15878" max="15878" width="23.140625" customWidth="1"/>
    <col min="15879" max="15879" width="13.140625" customWidth="1"/>
    <col min="15880" max="15883" width="14.28515625" customWidth="1"/>
    <col min="15884" max="15886" width="13.5703125" customWidth="1"/>
    <col min="15887" max="15889" width="17.5703125" customWidth="1"/>
    <col min="15890" max="15890" width="17.42578125" customWidth="1"/>
    <col min="15891" max="15891" width="17.7109375" customWidth="1"/>
    <col min="16129" max="16129" width="63.5703125" customWidth="1"/>
    <col min="16130" max="16130" width="29.42578125" customWidth="1"/>
    <col min="16131" max="16131" width="0" hidden="1" customWidth="1"/>
    <col min="16132" max="16132" width="24" customWidth="1"/>
    <col min="16133" max="16133" width="23.85546875" customWidth="1"/>
    <col min="16134" max="16134" width="23.140625" customWidth="1"/>
    <col min="16135" max="16135" width="13.140625" customWidth="1"/>
    <col min="16136" max="16139" width="14.28515625" customWidth="1"/>
    <col min="16140" max="16142" width="13.5703125" customWidth="1"/>
    <col min="16143" max="16145" width="17.5703125" customWidth="1"/>
    <col min="16146" max="16146" width="17.42578125" customWidth="1"/>
    <col min="16147" max="16147" width="17.7109375" customWidth="1"/>
  </cols>
  <sheetData>
    <row r="1" spans="1:19" s="11" customFormat="1" ht="18" x14ac:dyDescent="0.2">
      <c r="A1" s="568"/>
      <c r="B1" s="569"/>
      <c r="C1" s="574" t="s">
        <v>148</v>
      </c>
      <c r="D1" s="575"/>
      <c r="E1" s="575"/>
      <c r="F1" s="575"/>
      <c r="G1" s="575"/>
      <c r="H1" s="575"/>
      <c r="I1" s="576"/>
      <c r="J1" s="9"/>
      <c r="K1" s="9"/>
      <c r="L1" s="580" t="s">
        <v>149</v>
      </c>
      <c r="M1" s="581"/>
      <c r="N1" s="581"/>
      <c r="O1" s="581"/>
      <c r="P1" s="581"/>
      <c r="Q1" s="581"/>
      <c r="R1" s="582"/>
      <c r="S1" s="10"/>
    </row>
    <row r="2" spans="1:19" s="11" customFormat="1" ht="18" x14ac:dyDescent="0.2">
      <c r="A2" s="570"/>
      <c r="B2" s="571"/>
      <c r="C2" s="577"/>
      <c r="D2" s="578"/>
      <c r="E2" s="578"/>
      <c r="F2" s="578"/>
      <c r="G2" s="578"/>
      <c r="H2" s="578"/>
      <c r="I2" s="579"/>
      <c r="J2" s="12"/>
      <c r="K2" s="12"/>
      <c r="L2" s="580" t="s">
        <v>150</v>
      </c>
      <c r="M2" s="581"/>
      <c r="N2" s="581"/>
      <c r="O2" s="581"/>
      <c r="P2" s="581"/>
      <c r="Q2" s="581"/>
      <c r="R2" s="582"/>
      <c r="S2" s="10"/>
    </row>
    <row r="3" spans="1:19" s="11" customFormat="1" ht="18" x14ac:dyDescent="0.2">
      <c r="A3" s="572"/>
      <c r="B3" s="573"/>
      <c r="C3" s="583" t="s">
        <v>58</v>
      </c>
      <c r="D3" s="584"/>
      <c r="E3" s="584"/>
      <c r="F3" s="584"/>
      <c r="G3" s="584"/>
      <c r="H3" s="584"/>
      <c r="I3" s="585"/>
      <c r="J3" s="13"/>
      <c r="K3" s="13"/>
      <c r="L3" s="580" t="s">
        <v>151</v>
      </c>
      <c r="M3" s="581"/>
      <c r="N3" s="581"/>
      <c r="O3" s="581"/>
      <c r="P3" s="581"/>
      <c r="Q3" s="581"/>
      <c r="R3" s="582"/>
      <c r="S3" s="10"/>
    </row>
    <row r="5" spans="1:19" ht="47.25" x14ac:dyDescent="0.25">
      <c r="A5" s="14" t="s">
        <v>1</v>
      </c>
      <c r="B5" s="14" t="s">
        <v>152</v>
      </c>
      <c r="C5" s="14" t="s">
        <v>153</v>
      </c>
      <c r="D5" s="14" t="s">
        <v>154</v>
      </c>
      <c r="E5" s="14" t="s">
        <v>155</v>
      </c>
      <c r="F5" s="14" t="s">
        <v>156</v>
      </c>
      <c r="G5" s="15" t="s">
        <v>157</v>
      </c>
      <c r="H5" s="14" t="s">
        <v>158</v>
      </c>
      <c r="I5" s="15" t="s">
        <v>159</v>
      </c>
      <c r="J5" s="15" t="s">
        <v>160</v>
      </c>
      <c r="K5" s="15" t="s">
        <v>161</v>
      </c>
      <c r="L5" s="14" t="s">
        <v>162</v>
      </c>
      <c r="M5" s="14" t="s">
        <v>163</v>
      </c>
      <c r="N5" s="14" t="s">
        <v>164</v>
      </c>
      <c r="O5" s="14" t="s">
        <v>165</v>
      </c>
      <c r="P5" s="14" t="s">
        <v>166</v>
      </c>
      <c r="Q5" s="14" t="s">
        <v>167</v>
      </c>
      <c r="R5" s="14" t="s">
        <v>168</v>
      </c>
    </row>
    <row r="6" spans="1:19" s="26" customFormat="1" ht="30" x14ac:dyDescent="0.25">
      <c r="A6" s="16" t="s">
        <v>169</v>
      </c>
      <c r="B6" s="16" t="s">
        <v>170</v>
      </c>
      <c r="C6" s="17" t="s">
        <v>171</v>
      </c>
      <c r="D6" s="18" t="s">
        <v>172</v>
      </c>
      <c r="E6" s="19" t="s">
        <v>173</v>
      </c>
      <c r="F6" s="20" t="s">
        <v>52</v>
      </c>
      <c r="G6" s="21">
        <v>163907</v>
      </c>
      <c r="H6" s="16">
        <v>4.5</v>
      </c>
      <c r="I6" s="22">
        <f>+G6*H6</f>
        <v>737581.5</v>
      </c>
      <c r="J6" s="23">
        <v>1</v>
      </c>
      <c r="K6" s="24">
        <f t="shared" ref="K6:K37" si="0">+I6*J6</f>
        <v>737581.5</v>
      </c>
      <c r="L6" s="24">
        <v>800000</v>
      </c>
      <c r="M6" s="23">
        <v>1</v>
      </c>
      <c r="N6" s="24">
        <f t="shared" ref="N6:N37" si="1">+L6*M6</f>
        <v>800000</v>
      </c>
      <c r="O6" s="24">
        <v>70000</v>
      </c>
      <c r="P6" s="23">
        <v>1</v>
      </c>
      <c r="Q6" s="24">
        <f>+O6*P6</f>
        <v>70000</v>
      </c>
      <c r="R6" s="24">
        <f>+K6+N6+O6</f>
        <v>1607581.5</v>
      </c>
      <c r="S6" s="25"/>
    </row>
    <row r="7" spans="1:19" s="26" customFormat="1" ht="30" x14ac:dyDescent="0.25">
      <c r="A7" s="16" t="s">
        <v>169</v>
      </c>
      <c r="B7" s="16" t="s">
        <v>170</v>
      </c>
      <c r="C7" s="17" t="s">
        <v>171</v>
      </c>
      <c r="D7" s="18" t="s">
        <v>172</v>
      </c>
      <c r="E7" s="19" t="s">
        <v>174</v>
      </c>
      <c r="F7" s="20" t="s">
        <v>52</v>
      </c>
      <c r="G7" s="21">
        <v>163907</v>
      </c>
      <c r="H7" s="16">
        <v>3.5</v>
      </c>
      <c r="I7" s="22">
        <f t="shared" ref="I7:I69" si="2">+G7*H7</f>
        <v>573674.5</v>
      </c>
      <c r="J7" s="23">
        <v>1</v>
      </c>
      <c r="K7" s="24">
        <f t="shared" si="0"/>
        <v>573674.5</v>
      </c>
      <c r="L7" s="24">
        <v>800000</v>
      </c>
      <c r="M7" s="23">
        <v>1</v>
      </c>
      <c r="N7" s="24">
        <f t="shared" si="1"/>
        <v>800000</v>
      </c>
      <c r="O7" s="24">
        <v>70000</v>
      </c>
      <c r="P7" s="23">
        <v>1</v>
      </c>
      <c r="Q7" s="24">
        <f t="shared" ref="Q7:Q69" si="3">+O7*P7</f>
        <v>70000</v>
      </c>
      <c r="R7" s="24">
        <f t="shared" ref="R7:R69" si="4">+K7+N7+O7</f>
        <v>1443674.5</v>
      </c>
      <c r="S7" s="25"/>
    </row>
    <row r="8" spans="1:19" s="26" customFormat="1" ht="30" x14ac:dyDescent="0.25">
      <c r="A8" s="16" t="s">
        <v>169</v>
      </c>
      <c r="B8" s="16" t="s">
        <v>170</v>
      </c>
      <c r="C8" s="16" t="s">
        <v>175</v>
      </c>
      <c r="D8" s="27" t="s">
        <v>176</v>
      </c>
      <c r="E8" s="28" t="s">
        <v>177</v>
      </c>
      <c r="F8" s="20" t="s">
        <v>178</v>
      </c>
      <c r="G8" s="29">
        <v>190723</v>
      </c>
      <c r="H8" s="16">
        <v>4.5</v>
      </c>
      <c r="I8" s="22">
        <f t="shared" si="2"/>
        <v>858253.5</v>
      </c>
      <c r="J8" s="23">
        <v>1</v>
      </c>
      <c r="K8" s="24">
        <f t="shared" si="0"/>
        <v>858253.5</v>
      </c>
      <c r="L8" s="24">
        <v>800000</v>
      </c>
      <c r="M8" s="23">
        <v>1</v>
      </c>
      <c r="N8" s="24">
        <f t="shared" si="1"/>
        <v>800000</v>
      </c>
      <c r="O8" s="24">
        <v>70000</v>
      </c>
      <c r="P8" s="23">
        <v>1</v>
      </c>
      <c r="Q8" s="24">
        <f t="shared" si="3"/>
        <v>70000</v>
      </c>
      <c r="R8" s="24">
        <f t="shared" si="4"/>
        <v>1728253.5</v>
      </c>
    </row>
    <row r="9" spans="1:19" s="26" customFormat="1" ht="30" x14ac:dyDescent="0.25">
      <c r="A9" s="16" t="s">
        <v>169</v>
      </c>
      <c r="B9" s="16" t="s">
        <v>170</v>
      </c>
      <c r="C9" s="16" t="s">
        <v>175</v>
      </c>
      <c r="D9" s="27" t="s">
        <v>176</v>
      </c>
      <c r="E9" s="28" t="s">
        <v>179</v>
      </c>
      <c r="F9" s="20" t="s">
        <v>178</v>
      </c>
      <c r="G9" s="29">
        <v>190723</v>
      </c>
      <c r="H9" s="16">
        <v>3.5</v>
      </c>
      <c r="I9" s="22">
        <f t="shared" si="2"/>
        <v>667530.5</v>
      </c>
      <c r="J9" s="23">
        <v>1</v>
      </c>
      <c r="K9" s="24">
        <f t="shared" si="0"/>
        <v>667530.5</v>
      </c>
      <c r="L9" s="24">
        <v>800000</v>
      </c>
      <c r="M9" s="23">
        <v>1</v>
      </c>
      <c r="N9" s="24">
        <f t="shared" si="1"/>
        <v>800000</v>
      </c>
      <c r="O9" s="24">
        <v>70000</v>
      </c>
      <c r="P9" s="23">
        <v>1</v>
      </c>
      <c r="Q9" s="24">
        <f t="shared" si="3"/>
        <v>70000</v>
      </c>
      <c r="R9" s="24">
        <f t="shared" si="4"/>
        <v>1537530.5</v>
      </c>
    </row>
    <row r="10" spans="1:19" s="26" customFormat="1" ht="30" x14ac:dyDescent="0.25">
      <c r="A10" s="16" t="s">
        <v>169</v>
      </c>
      <c r="B10" s="16" t="s">
        <v>170</v>
      </c>
      <c r="C10" s="16" t="s">
        <v>180</v>
      </c>
      <c r="D10" s="27" t="s">
        <v>181</v>
      </c>
      <c r="E10" s="28" t="s">
        <v>182</v>
      </c>
      <c r="F10" s="20" t="s">
        <v>183</v>
      </c>
      <c r="G10" s="21">
        <v>163907</v>
      </c>
      <c r="H10" s="16">
        <v>4.5</v>
      </c>
      <c r="I10" s="22">
        <f t="shared" si="2"/>
        <v>737581.5</v>
      </c>
      <c r="J10" s="23">
        <v>1</v>
      </c>
      <c r="K10" s="24">
        <f t="shared" si="0"/>
        <v>737581.5</v>
      </c>
      <c r="L10" s="24">
        <v>800000</v>
      </c>
      <c r="M10" s="23">
        <v>1</v>
      </c>
      <c r="N10" s="24">
        <f t="shared" si="1"/>
        <v>800000</v>
      </c>
      <c r="O10" s="24">
        <v>70000</v>
      </c>
      <c r="P10" s="23">
        <v>1</v>
      </c>
      <c r="Q10" s="24">
        <f t="shared" si="3"/>
        <v>70000</v>
      </c>
      <c r="R10" s="24">
        <f t="shared" si="4"/>
        <v>1607581.5</v>
      </c>
    </row>
    <row r="11" spans="1:19" s="26" customFormat="1" ht="30" x14ac:dyDescent="0.25">
      <c r="A11" s="16" t="s">
        <v>169</v>
      </c>
      <c r="B11" s="16" t="s">
        <v>170</v>
      </c>
      <c r="C11" s="16" t="s">
        <v>180</v>
      </c>
      <c r="D11" s="27" t="s">
        <v>181</v>
      </c>
      <c r="E11" s="28" t="s">
        <v>181</v>
      </c>
      <c r="F11" s="20" t="s">
        <v>183</v>
      </c>
      <c r="G11" s="21">
        <v>163907</v>
      </c>
      <c r="H11" s="16">
        <v>3.5</v>
      </c>
      <c r="I11" s="22">
        <f t="shared" si="2"/>
        <v>573674.5</v>
      </c>
      <c r="J11" s="23">
        <v>1</v>
      </c>
      <c r="K11" s="24">
        <f t="shared" si="0"/>
        <v>573674.5</v>
      </c>
      <c r="L11" s="24">
        <v>800000</v>
      </c>
      <c r="M11" s="23">
        <v>1</v>
      </c>
      <c r="N11" s="24">
        <f t="shared" si="1"/>
        <v>800000</v>
      </c>
      <c r="O11" s="24">
        <v>70000</v>
      </c>
      <c r="P11" s="23">
        <v>1</v>
      </c>
      <c r="Q11" s="24">
        <f t="shared" si="3"/>
        <v>70000</v>
      </c>
      <c r="R11" s="24">
        <f t="shared" si="4"/>
        <v>1443674.5</v>
      </c>
    </row>
    <row r="12" spans="1:19" s="26" customFormat="1" ht="30" x14ac:dyDescent="0.25">
      <c r="A12" s="16" t="s">
        <v>169</v>
      </c>
      <c r="B12" s="16" t="s">
        <v>170</v>
      </c>
      <c r="C12" s="16" t="s">
        <v>184</v>
      </c>
      <c r="D12" s="27" t="s">
        <v>185</v>
      </c>
      <c r="E12" s="28" t="s">
        <v>186</v>
      </c>
      <c r="F12" s="20" t="s">
        <v>47</v>
      </c>
      <c r="G12" s="21">
        <v>163907</v>
      </c>
      <c r="H12" s="16">
        <v>4.5</v>
      </c>
      <c r="I12" s="22">
        <f t="shared" si="2"/>
        <v>737581.5</v>
      </c>
      <c r="J12" s="23">
        <v>1</v>
      </c>
      <c r="K12" s="24">
        <f t="shared" si="0"/>
        <v>737581.5</v>
      </c>
      <c r="L12" s="24">
        <v>800000</v>
      </c>
      <c r="M12" s="23">
        <v>1</v>
      </c>
      <c r="N12" s="24">
        <f t="shared" si="1"/>
        <v>800000</v>
      </c>
      <c r="O12" s="24">
        <v>70000</v>
      </c>
      <c r="P12" s="23">
        <v>1</v>
      </c>
      <c r="Q12" s="24">
        <f t="shared" si="3"/>
        <v>70000</v>
      </c>
      <c r="R12" s="24">
        <f t="shared" si="4"/>
        <v>1607581.5</v>
      </c>
    </row>
    <row r="13" spans="1:19" s="26" customFormat="1" ht="30" x14ac:dyDescent="0.25">
      <c r="A13" s="16" t="s">
        <v>169</v>
      </c>
      <c r="B13" s="16" t="s">
        <v>170</v>
      </c>
      <c r="C13" s="16" t="s">
        <v>184</v>
      </c>
      <c r="D13" s="27" t="s">
        <v>185</v>
      </c>
      <c r="E13" s="28" t="s">
        <v>187</v>
      </c>
      <c r="F13" s="20" t="s">
        <v>47</v>
      </c>
      <c r="G13" s="30">
        <v>247196</v>
      </c>
      <c r="H13" s="16">
        <v>3.5</v>
      </c>
      <c r="I13" s="22">
        <f t="shared" si="2"/>
        <v>865186</v>
      </c>
      <c r="J13" s="23">
        <v>1</v>
      </c>
      <c r="K13" s="24">
        <f t="shared" si="0"/>
        <v>865186</v>
      </c>
      <c r="L13" s="24">
        <v>800000</v>
      </c>
      <c r="M13" s="23">
        <v>1</v>
      </c>
      <c r="N13" s="24">
        <f t="shared" si="1"/>
        <v>800000</v>
      </c>
      <c r="O13" s="24">
        <v>70000</v>
      </c>
      <c r="P13" s="23">
        <v>1</v>
      </c>
      <c r="Q13" s="24">
        <f t="shared" si="3"/>
        <v>70000</v>
      </c>
      <c r="R13" s="24">
        <f t="shared" si="4"/>
        <v>1735186</v>
      </c>
    </row>
    <row r="14" spans="1:19" s="26" customFormat="1" ht="30" x14ac:dyDescent="0.25">
      <c r="A14" s="16" t="s">
        <v>169</v>
      </c>
      <c r="B14" s="16" t="s">
        <v>170</v>
      </c>
      <c r="C14" s="16" t="s">
        <v>184</v>
      </c>
      <c r="D14" s="27" t="s">
        <v>188</v>
      </c>
      <c r="E14" s="28" t="s">
        <v>189</v>
      </c>
      <c r="F14" s="20" t="s">
        <v>190</v>
      </c>
      <c r="G14" s="30">
        <v>163907</v>
      </c>
      <c r="H14" s="16">
        <v>4.5</v>
      </c>
      <c r="I14" s="22">
        <f t="shared" si="2"/>
        <v>737581.5</v>
      </c>
      <c r="J14" s="23">
        <v>1</v>
      </c>
      <c r="K14" s="24">
        <f t="shared" si="0"/>
        <v>737581.5</v>
      </c>
      <c r="L14" s="24">
        <v>800000</v>
      </c>
      <c r="M14" s="23">
        <v>1</v>
      </c>
      <c r="N14" s="24">
        <f t="shared" si="1"/>
        <v>800000</v>
      </c>
      <c r="O14" s="24">
        <v>70000</v>
      </c>
      <c r="P14" s="23">
        <v>1</v>
      </c>
      <c r="Q14" s="24">
        <f t="shared" si="3"/>
        <v>70000</v>
      </c>
      <c r="R14" s="24">
        <f t="shared" si="4"/>
        <v>1607581.5</v>
      </c>
    </row>
    <row r="15" spans="1:19" s="26" customFormat="1" ht="30" x14ac:dyDescent="0.25">
      <c r="A15" s="16" t="s">
        <v>169</v>
      </c>
      <c r="B15" s="16" t="s">
        <v>170</v>
      </c>
      <c r="C15" s="16" t="s">
        <v>184</v>
      </c>
      <c r="D15" s="27" t="s">
        <v>188</v>
      </c>
      <c r="E15" s="28" t="s">
        <v>191</v>
      </c>
      <c r="F15" s="20" t="s">
        <v>190</v>
      </c>
      <c r="G15" s="30">
        <v>163907</v>
      </c>
      <c r="H15" s="16">
        <v>3.5</v>
      </c>
      <c r="I15" s="22">
        <f t="shared" si="2"/>
        <v>573674.5</v>
      </c>
      <c r="J15" s="23">
        <v>1</v>
      </c>
      <c r="K15" s="24">
        <f t="shared" si="0"/>
        <v>573674.5</v>
      </c>
      <c r="L15" s="24">
        <v>800000</v>
      </c>
      <c r="M15" s="23">
        <v>1</v>
      </c>
      <c r="N15" s="24">
        <f t="shared" si="1"/>
        <v>800000</v>
      </c>
      <c r="O15" s="24">
        <v>70000</v>
      </c>
      <c r="P15" s="23">
        <v>1</v>
      </c>
      <c r="Q15" s="24">
        <f t="shared" si="3"/>
        <v>70000</v>
      </c>
      <c r="R15" s="24">
        <f t="shared" si="4"/>
        <v>1443674.5</v>
      </c>
    </row>
    <row r="16" spans="1:19" s="26" customFormat="1" ht="30" x14ac:dyDescent="0.25">
      <c r="A16" s="16" t="s">
        <v>169</v>
      </c>
      <c r="B16" s="16" t="s">
        <v>170</v>
      </c>
      <c r="C16" s="16" t="s">
        <v>192</v>
      </c>
      <c r="D16" s="27" t="s">
        <v>193</v>
      </c>
      <c r="E16" s="28" t="s">
        <v>194</v>
      </c>
      <c r="F16" s="20" t="s">
        <v>52</v>
      </c>
      <c r="G16" s="30">
        <v>163907</v>
      </c>
      <c r="H16" s="16">
        <v>4.5</v>
      </c>
      <c r="I16" s="22">
        <f t="shared" si="2"/>
        <v>737581.5</v>
      </c>
      <c r="J16" s="23">
        <v>1</v>
      </c>
      <c r="K16" s="24">
        <f t="shared" si="0"/>
        <v>737581.5</v>
      </c>
      <c r="L16" s="24">
        <v>0</v>
      </c>
      <c r="M16" s="23">
        <v>0</v>
      </c>
      <c r="N16" s="24">
        <f t="shared" si="1"/>
        <v>0</v>
      </c>
      <c r="O16" s="24">
        <v>70000</v>
      </c>
      <c r="P16" s="23">
        <v>1</v>
      </c>
      <c r="Q16" s="24">
        <f t="shared" si="3"/>
        <v>70000</v>
      </c>
      <c r="R16" s="24">
        <f t="shared" si="4"/>
        <v>807581.5</v>
      </c>
    </row>
    <row r="17" spans="1:19" s="26" customFormat="1" ht="30" x14ac:dyDescent="0.25">
      <c r="A17" s="16" t="s">
        <v>169</v>
      </c>
      <c r="B17" s="16" t="s">
        <v>170</v>
      </c>
      <c r="C17" s="16" t="s">
        <v>192</v>
      </c>
      <c r="D17" s="27" t="s">
        <v>193</v>
      </c>
      <c r="E17" s="28" t="s">
        <v>195</v>
      </c>
      <c r="F17" s="20" t="s">
        <v>52</v>
      </c>
      <c r="G17" s="30">
        <v>163907</v>
      </c>
      <c r="H17" s="16">
        <v>3.5</v>
      </c>
      <c r="I17" s="22">
        <f t="shared" si="2"/>
        <v>573674.5</v>
      </c>
      <c r="J17" s="23">
        <v>1</v>
      </c>
      <c r="K17" s="24">
        <f t="shared" si="0"/>
        <v>573674.5</v>
      </c>
      <c r="L17" s="24">
        <v>0</v>
      </c>
      <c r="M17" s="23">
        <v>0</v>
      </c>
      <c r="N17" s="24">
        <f t="shared" si="1"/>
        <v>0</v>
      </c>
      <c r="O17" s="24">
        <v>70000</v>
      </c>
      <c r="P17" s="23">
        <v>1</v>
      </c>
      <c r="Q17" s="24">
        <f t="shared" si="3"/>
        <v>70000</v>
      </c>
      <c r="R17" s="24">
        <f t="shared" si="4"/>
        <v>643674.5</v>
      </c>
    </row>
    <row r="18" spans="1:19" s="26" customFormat="1" ht="45" x14ac:dyDescent="0.25">
      <c r="A18" s="16" t="s">
        <v>169</v>
      </c>
      <c r="B18" s="16" t="s">
        <v>170</v>
      </c>
      <c r="C18" s="16" t="s">
        <v>175</v>
      </c>
      <c r="D18" s="27" t="s">
        <v>196</v>
      </c>
      <c r="E18" s="28" t="s">
        <v>197</v>
      </c>
      <c r="F18" s="20" t="s">
        <v>29</v>
      </c>
      <c r="G18" s="30">
        <v>247196</v>
      </c>
      <c r="H18" s="16">
        <v>4.5</v>
      </c>
      <c r="I18" s="22">
        <f t="shared" si="2"/>
        <v>1112382</v>
      </c>
      <c r="J18" s="23">
        <v>1</v>
      </c>
      <c r="K18" s="24">
        <f t="shared" si="0"/>
        <v>1112382</v>
      </c>
      <c r="L18" s="24">
        <v>800000</v>
      </c>
      <c r="M18" s="23">
        <v>1</v>
      </c>
      <c r="N18" s="24">
        <f t="shared" si="1"/>
        <v>800000</v>
      </c>
      <c r="O18" s="24">
        <v>70000</v>
      </c>
      <c r="P18" s="23">
        <v>1</v>
      </c>
      <c r="Q18" s="24">
        <f t="shared" si="3"/>
        <v>70000</v>
      </c>
      <c r="R18" s="24">
        <f t="shared" si="4"/>
        <v>1982382</v>
      </c>
    </row>
    <row r="19" spans="1:19" s="26" customFormat="1" ht="45" x14ac:dyDescent="0.25">
      <c r="A19" s="16" t="s">
        <v>169</v>
      </c>
      <c r="B19" s="16" t="s">
        <v>170</v>
      </c>
      <c r="C19" s="16" t="s">
        <v>175</v>
      </c>
      <c r="D19" s="27" t="s">
        <v>196</v>
      </c>
      <c r="E19" s="28" t="s">
        <v>198</v>
      </c>
      <c r="F19" s="20" t="s">
        <v>29</v>
      </c>
      <c r="G19" s="30">
        <v>247196</v>
      </c>
      <c r="H19" s="16">
        <v>3.5</v>
      </c>
      <c r="I19" s="22">
        <f t="shared" si="2"/>
        <v>865186</v>
      </c>
      <c r="J19" s="23">
        <v>1</v>
      </c>
      <c r="K19" s="24">
        <f t="shared" si="0"/>
        <v>865186</v>
      </c>
      <c r="L19" s="24">
        <v>800000</v>
      </c>
      <c r="M19" s="23">
        <v>1</v>
      </c>
      <c r="N19" s="24">
        <f t="shared" si="1"/>
        <v>800000</v>
      </c>
      <c r="O19" s="24">
        <v>70000</v>
      </c>
      <c r="P19" s="23">
        <v>1</v>
      </c>
      <c r="Q19" s="24">
        <f t="shared" si="3"/>
        <v>70000</v>
      </c>
      <c r="R19" s="24">
        <f t="shared" si="4"/>
        <v>1735186</v>
      </c>
    </row>
    <row r="20" spans="1:19" s="26" customFormat="1" ht="30" x14ac:dyDescent="0.25">
      <c r="A20" s="16" t="s">
        <v>169</v>
      </c>
      <c r="B20" s="16" t="s">
        <v>170</v>
      </c>
      <c r="C20" s="16"/>
      <c r="D20" s="27" t="s">
        <v>199</v>
      </c>
      <c r="E20" s="28" t="s">
        <v>200</v>
      </c>
      <c r="F20" s="20" t="s">
        <v>190</v>
      </c>
      <c r="G20" s="30">
        <v>163907</v>
      </c>
      <c r="H20" s="16">
        <v>4.5</v>
      </c>
      <c r="I20" s="22">
        <f t="shared" si="2"/>
        <v>737581.5</v>
      </c>
      <c r="J20" s="23">
        <v>1</v>
      </c>
      <c r="K20" s="24">
        <f t="shared" si="0"/>
        <v>737581.5</v>
      </c>
      <c r="L20" s="24">
        <v>800000</v>
      </c>
      <c r="M20" s="23">
        <v>1</v>
      </c>
      <c r="N20" s="24">
        <f t="shared" si="1"/>
        <v>800000</v>
      </c>
      <c r="O20" s="24">
        <v>70000</v>
      </c>
      <c r="P20" s="23">
        <v>1</v>
      </c>
      <c r="Q20" s="24">
        <f t="shared" si="3"/>
        <v>70000</v>
      </c>
      <c r="R20" s="24">
        <f t="shared" si="4"/>
        <v>1607581.5</v>
      </c>
    </row>
    <row r="21" spans="1:19" s="26" customFormat="1" ht="30" x14ac:dyDescent="0.25">
      <c r="A21" s="16" t="s">
        <v>169</v>
      </c>
      <c r="B21" s="16" t="s">
        <v>170</v>
      </c>
      <c r="C21" s="16"/>
      <c r="D21" s="27" t="s">
        <v>199</v>
      </c>
      <c r="E21" s="28" t="s">
        <v>201</v>
      </c>
      <c r="F21" s="20" t="s">
        <v>190</v>
      </c>
      <c r="G21" s="30">
        <v>163907</v>
      </c>
      <c r="H21" s="16">
        <v>3.5</v>
      </c>
      <c r="I21" s="22">
        <f t="shared" si="2"/>
        <v>573674.5</v>
      </c>
      <c r="J21" s="23">
        <v>1</v>
      </c>
      <c r="K21" s="24">
        <f t="shared" si="0"/>
        <v>573674.5</v>
      </c>
      <c r="L21" s="24">
        <v>800000</v>
      </c>
      <c r="M21" s="23">
        <v>1</v>
      </c>
      <c r="N21" s="24">
        <f t="shared" si="1"/>
        <v>800000</v>
      </c>
      <c r="O21" s="24">
        <v>70000</v>
      </c>
      <c r="P21" s="23">
        <v>1</v>
      </c>
      <c r="Q21" s="24">
        <f t="shared" si="3"/>
        <v>70000</v>
      </c>
      <c r="R21" s="24">
        <f t="shared" si="4"/>
        <v>1443674.5</v>
      </c>
    </row>
    <row r="22" spans="1:19" s="31" customFormat="1" ht="30" x14ac:dyDescent="0.25">
      <c r="A22" s="16" t="s">
        <v>169</v>
      </c>
      <c r="B22" s="16" t="s">
        <v>170</v>
      </c>
      <c r="C22" s="17"/>
      <c r="D22" s="27" t="s">
        <v>202</v>
      </c>
      <c r="E22" s="28" t="s">
        <v>203</v>
      </c>
      <c r="F22" s="20" t="s">
        <v>50</v>
      </c>
      <c r="G22" s="29">
        <v>190723</v>
      </c>
      <c r="H22" s="16">
        <v>4.5</v>
      </c>
      <c r="I22" s="22">
        <f t="shared" si="2"/>
        <v>858253.5</v>
      </c>
      <c r="J22" s="23">
        <v>1</v>
      </c>
      <c r="K22" s="24">
        <f t="shared" si="0"/>
        <v>858253.5</v>
      </c>
      <c r="L22" s="24">
        <v>800000</v>
      </c>
      <c r="M22" s="23">
        <v>1</v>
      </c>
      <c r="N22" s="24">
        <f t="shared" si="1"/>
        <v>800000</v>
      </c>
      <c r="O22" s="24">
        <v>70000</v>
      </c>
      <c r="P22" s="23">
        <v>1</v>
      </c>
      <c r="Q22" s="24">
        <f t="shared" si="3"/>
        <v>70000</v>
      </c>
      <c r="R22" s="24">
        <f t="shared" si="4"/>
        <v>1728253.5</v>
      </c>
      <c r="S22" s="26"/>
    </row>
    <row r="23" spans="1:19" s="31" customFormat="1" ht="30" x14ac:dyDescent="0.25">
      <c r="A23" s="16" t="s">
        <v>169</v>
      </c>
      <c r="B23" s="16" t="s">
        <v>170</v>
      </c>
      <c r="C23" s="17"/>
      <c r="D23" s="27" t="s">
        <v>202</v>
      </c>
      <c r="E23" s="28" t="s">
        <v>204</v>
      </c>
      <c r="F23" s="20" t="s">
        <v>50</v>
      </c>
      <c r="G23" s="29">
        <v>190723</v>
      </c>
      <c r="H23" s="16">
        <v>3.5</v>
      </c>
      <c r="I23" s="22">
        <f t="shared" si="2"/>
        <v>667530.5</v>
      </c>
      <c r="J23" s="23">
        <v>1</v>
      </c>
      <c r="K23" s="24">
        <f t="shared" si="0"/>
        <v>667530.5</v>
      </c>
      <c r="L23" s="24">
        <v>800000</v>
      </c>
      <c r="M23" s="23">
        <v>1</v>
      </c>
      <c r="N23" s="24">
        <f t="shared" si="1"/>
        <v>800000</v>
      </c>
      <c r="O23" s="24">
        <v>70000</v>
      </c>
      <c r="P23" s="23">
        <v>1</v>
      </c>
      <c r="Q23" s="24">
        <f t="shared" si="3"/>
        <v>70000</v>
      </c>
      <c r="R23" s="24">
        <f t="shared" si="4"/>
        <v>1537530.5</v>
      </c>
      <c r="S23" s="26"/>
    </row>
    <row r="24" spans="1:19" s="31" customFormat="1" ht="30" x14ac:dyDescent="0.25">
      <c r="A24" s="16" t="s">
        <v>169</v>
      </c>
      <c r="B24" s="16" t="s">
        <v>170</v>
      </c>
      <c r="C24" s="17" t="s">
        <v>205</v>
      </c>
      <c r="D24" s="27" t="s">
        <v>206</v>
      </c>
      <c r="E24" s="28" t="s">
        <v>207</v>
      </c>
      <c r="F24" s="20" t="s">
        <v>47</v>
      </c>
      <c r="G24" s="30">
        <v>163907</v>
      </c>
      <c r="H24" s="16">
        <v>4.5</v>
      </c>
      <c r="I24" s="22">
        <f t="shared" si="2"/>
        <v>737581.5</v>
      </c>
      <c r="J24" s="23">
        <v>1</v>
      </c>
      <c r="K24" s="24">
        <f t="shared" si="0"/>
        <v>737581.5</v>
      </c>
      <c r="L24" s="24">
        <v>800000</v>
      </c>
      <c r="M24" s="23">
        <v>1</v>
      </c>
      <c r="N24" s="24">
        <f t="shared" si="1"/>
        <v>800000</v>
      </c>
      <c r="O24" s="24">
        <v>70000</v>
      </c>
      <c r="P24" s="23">
        <v>1</v>
      </c>
      <c r="Q24" s="24">
        <f t="shared" si="3"/>
        <v>70000</v>
      </c>
      <c r="R24" s="24">
        <f t="shared" si="4"/>
        <v>1607581.5</v>
      </c>
      <c r="S24" s="26"/>
    </row>
    <row r="25" spans="1:19" s="31" customFormat="1" ht="30" x14ac:dyDescent="0.25">
      <c r="A25" s="16" t="s">
        <v>169</v>
      </c>
      <c r="B25" s="16" t="s">
        <v>170</v>
      </c>
      <c r="C25" s="17" t="s">
        <v>205</v>
      </c>
      <c r="D25" s="27" t="s">
        <v>206</v>
      </c>
      <c r="E25" s="28" t="s">
        <v>208</v>
      </c>
      <c r="F25" s="20" t="s">
        <v>47</v>
      </c>
      <c r="G25" s="30">
        <v>163907</v>
      </c>
      <c r="H25" s="16">
        <v>3.5</v>
      </c>
      <c r="I25" s="22">
        <f t="shared" si="2"/>
        <v>573674.5</v>
      </c>
      <c r="J25" s="23">
        <v>1</v>
      </c>
      <c r="K25" s="24">
        <f t="shared" si="0"/>
        <v>573674.5</v>
      </c>
      <c r="L25" s="24">
        <v>800000</v>
      </c>
      <c r="M25" s="23">
        <v>1</v>
      </c>
      <c r="N25" s="24">
        <f t="shared" si="1"/>
        <v>800000</v>
      </c>
      <c r="O25" s="24">
        <v>70000</v>
      </c>
      <c r="P25" s="23">
        <v>1</v>
      </c>
      <c r="Q25" s="24">
        <f t="shared" si="3"/>
        <v>70000</v>
      </c>
      <c r="R25" s="24">
        <f t="shared" si="4"/>
        <v>1443674.5</v>
      </c>
      <c r="S25" s="26"/>
    </row>
    <row r="26" spans="1:19" s="31" customFormat="1" ht="30" x14ac:dyDescent="0.25">
      <c r="A26" s="16" t="s">
        <v>169</v>
      </c>
      <c r="B26" s="16" t="s">
        <v>170</v>
      </c>
      <c r="C26" s="17" t="s">
        <v>184</v>
      </c>
      <c r="D26" s="27" t="s">
        <v>209</v>
      </c>
      <c r="E26" s="28" t="s">
        <v>210</v>
      </c>
      <c r="F26" s="20" t="s">
        <v>49</v>
      </c>
      <c r="G26" s="29">
        <v>190723</v>
      </c>
      <c r="H26" s="16">
        <v>4.5</v>
      </c>
      <c r="I26" s="22">
        <f t="shared" si="2"/>
        <v>858253.5</v>
      </c>
      <c r="J26" s="23">
        <v>1</v>
      </c>
      <c r="K26" s="24">
        <f t="shared" si="0"/>
        <v>858253.5</v>
      </c>
      <c r="L26" s="24">
        <v>800000</v>
      </c>
      <c r="M26" s="23">
        <v>1</v>
      </c>
      <c r="N26" s="24">
        <f t="shared" si="1"/>
        <v>800000</v>
      </c>
      <c r="O26" s="24">
        <v>70000</v>
      </c>
      <c r="P26" s="23">
        <v>1</v>
      </c>
      <c r="Q26" s="24">
        <f t="shared" si="3"/>
        <v>70000</v>
      </c>
      <c r="R26" s="24">
        <f t="shared" si="4"/>
        <v>1728253.5</v>
      </c>
      <c r="S26" s="26"/>
    </row>
    <row r="27" spans="1:19" s="31" customFormat="1" ht="30" x14ac:dyDescent="0.25">
      <c r="A27" s="16" t="s">
        <v>169</v>
      </c>
      <c r="B27" s="16" t="s">
        <v>170</v>
      </c>
      <c r="C27" s="17" t="s">
        <v>184</v>
      </c>
      <c r="D27" s="27" t="s">
        <v>209</v>
      </c>
      <c r="E27" s="28" t="s">
        <v>211</v>
      </c>
      <c r="F27" s="20" t="s">
        <v>49</v>
      </c>
      <c r="G27" s="29">
        <v>190723</v>
      </c>
      <c r="H27" s="16">
        <v>3.5</v>
      </c>
      <c r="I27" s="22">
        <f t="shared" si="2"/>
        <v>667530.5</v>
      </c>
      <c r="J27" s="23">
        <v>1</v>
      </c>
      <c r="K27" s="24">
        <f t="shared" si="0"/>
        <v>667530.5</v>
      </c>
      <c r="L27" s="24">
        <v>800000</v>
      </c>
      <c r="M27" s="23">
        <v>1</v>
      </c>
      <c r="N27" s="24">
        <f t="shared" si="1"/>
        <v>800000</v>
      </c>
      <c r="O27" s="24">
        <v>70000</v>
      </c>
      <c r="P27" s="23">
        <v>1</v>
      </c>
      <c r="Q27" s="24">
        <f t="shared" si="3"/>
        <v>70000</v>
      </c>
      <c r="R27" s="24">
        <f t="shared" si="4"/>
        <v>1537530.5</v>
      </c>
      <c r="S27" s="26"/>
    </row>
    <row r="28" spans="1:19" s="31" customFormat="1" ht="30" x14ac:dyDescent="0.25">
      <c r="A28" s="16" t="s">
        <v>169</v>
      </c>
      <c r="B28" s="16" t="s">
        <v>170</v>
      </c>
      <c r="C28" s="17" t="s">
        <v>205</v>
      </c>
      <c r="D28" s="27" t="s">
        <v>212</v>
      </c>
      <c r="E28" s="32" t="s">
        <v>213</v>
      </c>
      <c r="F28" s="20" t="s">
        <v>178</v>
      </c>
      <c r="G28" s="29">
        <v>190723</v>
      </c>
      <c r="H28" s="16">
        <v>4.5</v>
      </c>
      <c r="I28" s="22">
        <f t="shared" si="2"/>
        <v>858253.5</v>
      </c>
      <c r="J28" s="23">
        <v>1</v>
      </c>
      <c r="K28" s="24">
        <f t="shared" si="0"/>
        <v>858253.5</v>
      </c>
      <c r="L28" s="24">
        <v>800000</v>
      </c>
      <c r="M28" s="23">
        <v>1</v>
      </c>
      <c r="N28" s="24">
        <f t="shared" si="1"/>
        <v>800000</v>
      </c>
      <c r="O28" s="24">
        <v>70000</v>
      </c>
      <c r="P28" s="23">
        <v>1</v>
      </c>
      <c r="Q28" s="24">
        <f t="shared" si="3"/>
        <v>70000</v>
      </c>
      <c r="R28" s="24">
        <f t="shared" si="4"/>
        <v>1728253.5</v>
      </c>
      <c r="S28" s="26"/>
    </row>
    <row r="29" spans="1:19" s="31" customFormat="1" ht="30" x14ac:dyDescent="0.25">
      <c r="A29" s="16" t="s">
        <v>169</v>
      </c>
      <c r="B29" s="16" t="s">
        <v>170</v>
      </c>
      <c r="C29" s="17" t="s">
        <v>205</v>
      </c>
      <c r="D29" s="27" t="s">
        <v>212</v>
      </c>
      <c r="E29" s="32" t="s">
        <v>214</v>
      </c>
      <c r="F29" s="20" t="s">
        <v>178</v>
      </c>
      <c r="G29" s="29">
        <v>190723</v>
      </c>
      <c r="H29" s="16">
        <v>3.5</v>
      </c>
      <c r="I29" s="22">
        <f t="shared" si="2"/>
        <v>667530.5</v>
      </c>
      <c r="J29" s="23">
        <v>1</v>
      </c>
      <c r="K29" s="24">
        <f t="shared" si="0"/>
        <v>667530.5</v>
      </c>
      <c r="L29" s="24">
        <v>800000</v>
      </c>
      <c r="M29" s="23">
        <v>1</v>
      </c>
      <c r="N29" s="24">
        <f t="shared" si="1"/>
        <v>800000</v>
      </c>
      <c r="O29" s="24">
        <v>70000</v>
      </c>
      <c r="P29" s="23">
        <v>1</v>
      </c>
      <c r="Q29" s="24">
        <f t="shared" si="3"/>
        <v>70000</v>
      </c>
      <c r="R29" s="24">
        <f t="shared" si="4"/>
        <v>1537530.5</v>
      </c>
      <c r="S29" s="26"/>
    </row>
    <row r="30" spans="1:19" s="31" customFormat="1" ht="30" x14ac:dyDescent="0.25">
      <c r="A30" s="16" t="s">
        <v>169</v>
      </c>
      <c r="B30" s="16" t="s">
        <v>170</v>
      </c>
      <c r="C30" s="17" t="s">
        <v>184</v>
      </c>
      <c r="D30" s="27" t="s">
        <v>215</v>
      </c>
      <c r="E30" s="32" t="s">
        <v>216</v>
      </c>
      <c r="F30" s="20" t="s">
        <v>52</v>
      </c>
      <c r="G30" s="30">
        <v>163907</v>
      </c>
      <c r="H30" s="16">
        <v>4.5</v>
      </c>
      <c r="I30" s="22">
        <f t="shared" si="2"/>
        <v>737581.5</v>
      </c>
      <c r="J30" s="23">
        <v>1</v>
      </c>
      <c r="K30" s="24">
        <f t="shared" si="0"/>
        <v>737581.5</v>
      </c>
      <c r="L30" s="24">
        <v>800000</v>
      </c>
      <c r="M30" s="23">
        <v>1</v>
      </c>
      <c r="N30" s="24">
        <f t="shared" si="1"/>
        <v>800000</v>
      </c>
      <c r="O30" s="24">
        <v>70000</v>
      </c>
      <c r="P30" s="23">
        <v>1</v>
      </c>
      <c r="Q30" s="24">
        <f t="shared" si="3"/>
        <v>70000</v>
      </c>
      <c r="R30" s="24">
        <f t="shared" si="4"/>
        <v>1607581.5</v>
      </c>
      <c r="S30" s="26"/>
    </row>
    <row r="31" spans="1:19" s="31" customFormat="1" ht="30" x14ac:dyDescent="0.25">
      <c r="A31" s="16" t="s">
        <v>169</v>
      </c>
      <c r="B31" s="16" t="s">
        <v>170</v>
      </c>
      <c r="C31" s="17" t="s">
        <v>184</v>
      </c>
      <c r="D31" s="27" t="s">
        <v>215</v>
      </c>
      <c r="E31" s="32" t="s">
        <v>217</v>
      </c>
      <c r="F31" s="20" t="s">
        <v>52</v>
      </c>
      <c r="G31" s="30">
        <v>163907</v>
      </c>
      <c r="H31" s="16">
        <v>3.5</v>
      </c>
      <c r="I31" s="22">
        <f t="shared" si="2"/>
        <v>573674.5</v>
      </c>
      <c r="J31" s="23">
        <v>1</v>
      </c>
      <c r="K31" s="24">
        <f t="shared" si="0"/>
        <v>573674.5</v>
      </c>
      <c r="L31" s="24">
        <v>800000</v>
      </c>
      <c r="M31" s="23">
        <v>1</v>
      </c>
      <c r="N31" s="24">
        <f t="shared" si="1"/>
        <v>800000</v>
      </c>
      <c r="O31" s="24">
        <v>70000</v>
      </c>
      <c r="P31" s="23">
        <v>1</v>
      </c>
      <c r="Q31" s="24">
        <f t="shared" si="3"/>
        <v>70000</v>
      </c>
      <c r="R31" s="24">
        <f t="shared" si="4"/>
        <v>1443674.5</v>
      </c>
      <c r="S31" s="26"/>
    </row>
    <row r="32" spans="1:19" s="31" customFormat="1" ht="30" x14ac:dyDescent="0.25">
      <c r="A32" s="16" t="s">
        <v>169</v>
      </c>
      <c r="B32" s="16" t="s">
        <v>170</v>
      </c>
      <c r="C32" s="17" t="s">
        <v>192</v>
      </c>
      <c r="D32" s="27" t="s">
        <v>218</v>
      </c>
      <c r="E32" s="28" t="s">
        <v>219</v>
      </c>
      <c r="F32" s="20" t="s">
        <v>44</v>
      </c>
      <c r="G32" s="30">
        <v>163907</v>
      </c>
      <c r="H32" s="16">
        <v>4.5</v>
      </c>
      <c r="I32" s="22">
        <f t="shared" si="2"/>
        <v>737581.5</v>
      </c>
      <c r="J32" s="23">
        <v>1</v>
      </c>
      <c r="K32" s="24">
        <f t="shared" si="0"/>
        <v>737581.5</v>
      </c>
      <c r="L32" s="22">
        <v>0</v>
      </c>
      <c r="M32" s="23">
        <v>0</v>
      </c>
      <c r="N32" s="24">
        <f t="shared" si="1"/>
        <v>0</v>
      </c>
      <c r="O32" s="24">
        <v>70000</v>
      </c>
      <c r="P32" s="23">
        <v>1</v>
      </c>
      <c r="Q32" s="24">
        <f t="shared" si="3"/>
        <v>70000</v>
      </c>
      <c r="R32" s="24">
        <f t="shared" si="4"/>
        <v>807581.5</v>
      </c>
      <c r="S32" s="26"/>
    </row>
    <row r="33" spans="1:19" s="31" customFormat="1" ht="30" x14ac:dyDescent="0.25">
      <c r="A33" s="16" t="s">
        <v>169</v>
      </c>
      <c r="B33" s="16" t="s">
        <v>170</v>
      </c>
      <c r="C33" s="17" t="s">
        <v>192</v>
      </c>
      <c r="D33" s="27" t="s">
        <v>218</v>
      </c>
      <c r="E33" s="28" t="s">
        <v>219</v>
      </c>
      <c r="F33" s="20" t="s">
        <v>44</v>
      </c>
      <c r="G33" s="30">
        <v>163907</v>
      </c>
      <c r="H33" s="16">
        <v>4.5</v>
      </c>
      <c r="I33" s="22">
        <f t="shared" si="2"/>
        <v>737581.5</v>
      </c>
      <c r="J33" s="23">
        <v>1</v>
      </c>
      <c r="K33" s="24">
        <f t="shared" si="0"/>
        <v>737581.5</v>
      </c>
      <c r="L33" s="22">
        <v>0</v>
      </c>
      <c r="M33" s="23">
        <v>0</v>
      </c>
      <c r="N33" s="24">
        <f t="shared" si="1"/>
        <v>0</v>
      </c>
      <c r="O33" s="24">
        <v>70000</v>
      </c>
      <c r="P33" s="23">
        <v>1</v>
      </c>
      <c r="Q33" s="24">
        <f t="shared" si="3"/>
        <v>70000</v>
      </c>
      <c r="R33" s="24">
        <f t="shared" si="4"/>
        <v>807581.5</v>
      </c>
      <c r="S33" s="26"/>
    </row>
    <row r="34" spans="1:19" s="31" customFormat="1" ht="30" x14ac:dyDescent="0.25">
      <c r="A34" s="16" t="s">
        <v>169</v>
      </c>
      <c r="B34" s="16" t="s">
        <v>170</v>
      </c>
      <c r="C34" s="17" t="s">
        <v>180</v>
      </c>
      <c r="D34" s="27" t="s">
        <v>220</v>
      </c>
      <c r="E34" s="28" t="s">
        <v>221</v>
      </c>
      <c r="F34" s="20" t="s">
        <v>50</v>
      </c>
      <c r="G34" s="29">
        <v>190723</v>
      </c>
      <c r="H34" s="16">
        <v>4.5</v>
      </c>
      <c r="I34" s="22">
        <f t="shared" si="2"/>
        <v>858253.5</v>
      </c>
      <c r="J34" s="23">
        <v>1</v>
      </c>
      <c r="K34" s="24">
        <f t="shared" si="0"/>
        <v>858253.5</v>
      </c>
      <c r="L34" s="24">
        <v>800000</v>
      </c>
      <c r="M34" s="23">
        <v>1</v>
      </c>
      <c r="N34" s="24">
        <f t="shared" si="1"/>
        <v>800000</v>
      </c>
      <c r="O34" s="24">
        <v>70000</v>
      </c>
      <c r="P34" s="23">
        <v>1</v>
      </c>
      <c r="Q34" s="24">
        <f t="shared" si="3"/>
        <v>70000</v>
      </c>
      <c r="R34" s="24">
        <f t="shared" si="4"/>
        <v>1728253.5</v>
      </c>
      <c r="S34" s="26"/>
    </row>
    <row r="35" spans="1:19" s="31" customFormat="1" ht="30" x14ac:dyDescent="0.25">
      <c r="A35" s="16" t="s">
        <v>169</v>
      </c>
      <c r="B35" s="16" t="s">
        <v>170</v>
      </c>
      <c r="C35" s="17" t="s">
        <v>180</v>
      </c>
      <c r="D35" s="27" t="s">
        <v>220</v>
      </c>
      <c r="E35" s="28" t="s">
        <v>222</v>
      </c>
      <c r="F35" s="20" t="s">
        <v>50</v>
      </c>
      <c r="G35" s="29">
        <v>190723</v>
      </c>
      <c r="H35" s="16">
        <v>3.5</v>
      </c>
      <c r="I35" s="22">
        <f t="shared" si="2"/>
        <v>667530.5</v>
      </c>
      <c r="J35" s="23">
        <v>1</v>
      </c>
      <c r="K35" s="24">
        <f t="shared" si="0"/>
        <v>667530.5</v>
      </c>
      <c r="L35" s="24">
        <v>800000</v>
      </c>
      <c r="M35" s="23">
        <v>1</v>
      </c>
      <c r="N35" s="24">
        <f t="shared" si="1"/>
        <v>800000</v>
      </c>
      <c r="O35" s="24">
        <v>70000</v>
      </c>
      <c r="P35" s="23">
        <v>1</v>
      </c>
      <c r="Q35" s="24">
        <f t="shared" si="3"/>
        <v>70000</v>
      </c>
      <c r="R35" s="24">
        <f t="shared" si="4"/>
        <v>1537530.5</v>
      </c>
      <c r="S35" s="26"/>
    </row>
    <row r="36" spans="1:19" s="31" customFormat="1" ht="30" x14ac:dyDescent="0.25">
      <c r="A36" s="16" t="s">
        <v>169</v>
      </c>
      <c r="B36" s="16" t="s">
        <v>170</v>
      </c>
      <c r="C36" s="17"/>
      <c r="D36" s="27" t="s">
        <v>223</v>
      </c>
      <c r="E36" s="28" t="s">
        <v>224</v>
      </c>
      <c r="F36" s="20" t="s">
        <v>50</v>
      </c>
      <c r="G36" s="29">
        <v>190723</v>
      </c>
      <c r="H36" s="16">
        <v>4.5</v>
      </c>
      <c r="I36" s="22">
        <f t="shared" si="2"/>
        <v>858253.5</v>
      </c>
      <c r="J36" s="23">
        <v>1</v>
      </c>
      <c r="K36" s="24">
        <f t="shared" si="0"/>
        <v>858253.5</v>
      </c>
      <c r="L36" s="24">
        <v>800000</v>
      </c>
      <c r="M36" s="23">
        <v>1</v>
      </c>
      <c r="N36" s="24">
        <f t="shared" si="1"/>
        <v>800000</v>
      </c>
      <c r="O36" s="24">
        <v>70000</v>
      </c>
      <c r="P36" s="23">
        <v>1</v>
      </c>
      <c r="Q36" s="24">
        <f t="shared" si="3"/>
        <v>70000</v>
      </c>
      <c r="R36" s="24">
        <f t="shared" si="4"/>
        <v>1728253.5</v>
      </c>
      <c r="S36" s="26"/>
    </row>
    <row r="37" spans="1:19" s="31" customFormat="1" ht="30" x14ac:dyDescent="0.25">
      <c r="A37" s="16" t="s">
        <v>169</v>
      </c>
      <c r="B37" s="16" t="s">
        <v>170</v>
      </c>
      <c r="C37" s="17"/>
      <c r="D37" s="27" t="s">
        <v>223</v>
      </c>
      <c r="E37" s="28" t="s">
        <v>225</v>
      </c>
      <c r="F37" s="20" t="s">
        <v>50</v>
      </c>
      <c r="G37" s="29">
        <v>190723</v>
      </c>
      <c r="H37" s="16">
        <v>3.5</v>
      </c>
      <c r="I37" s="22">
        <f t="shared" si="2"/>
        <v>667530.5</v>
      </c>
      <c r="J37" s="23">
        <v>1</v>
      </c>
      <c r="K37" s="24">
        <f t="shared" si="0"/>
        <v>667530.5</v>
      </c>
      <c r="L37" s="24">
        <v>800000</v>
      </c>
      <c r="M37" s="23">
        <v>1</v>
      </c>
      <c r="N37" s="24">
        <f t="shared" si="1"/>
        <v>800000</v>
      </c>
      <c r="O37" s="24">
        <v>70000</v>
      </c>
      <c r="P37" s="23">
        <v>1</v>
      </c>
      <c r="Q37" s="24">
        <f t="shared" si="3"/>
        <v>70000</v>
      </c>
      <c r="R37" s="24">
        <f t="shared" si="4"/>
        <v>1537530.5</v>
      </c>
      <c r="S37" s="26"/>
    </row>
    <row r="38" spans="1:19" s="31" customFormat="1" ht="30" x14ac:dyDescent="0.25">
      <c r="A38" s="16" t="s">
        <v>169</v>
      </c>
      <c r="B38" s="16" t="s">
        <v>170</v>
      </c>
      <c r="C38" s="17" t="s">
        <v>184</v>
      </c>
      <c r="D38" s="27" t="s">
        <v>226</v>
      </c>
      <c r="E38" s="28" t="s">
        <v>227</v>
      </c>
      <c r="F38" s="20" t="s">
        <v>183</v>
      </c>
      <c r="G38" s="30">
        <v>163907</v>
      </c>
      <c r="H38" s="16">
        <v>4.5</v>
      </c>
      <c r="I38" s="22">
        <f t="shared" si="2"/>
        <v>737581.5</v>
      </c>
      <c r="J38" s="23">
        <v>1</v>
      </c>
      <c r="K38" s="24">
        <f t="shared" ref="K38:K69" si="5">+I38*J38</f>
        <v>737581.5</v>
      </c>
      <c r="L38" s="24">
        <v>800000</v>
      </c>
      <c r="M38" s="23">
        <v>1</v>
      </c>
      <c r="N38" s="24">
        <f t="shared" ref="N38:N69" si="6">+L38*M38</f>
        <v>800000</v>
      </c>
      <c r="O38" s="24">
        <v>70000</v>
      </c>
      <c r="P38" s="23">
        <v>1</v>
      </c>
      <c r="Q38" s="24">
        <f t="shared" si="3"/>
        <v>70000</v>
      </c>
      <c r="R38" s="24">
        <f t="shared" si="4"/>
        <v>1607581.5</v>
      </c>
      <c r="S38" s="26"/>
    </row>
    <row r="39" spans="1:19" s="31" customFormat="1" ht="30" x14ac:dyDescent="0.25">
      <c r="A39" s="16" t="s">
        <v>169</v>
      </c>
      <c r="B39" s="16" t="s">
        <v>170</v>
      </c>
      <c r="C39" s="17" t="s">
        <v>184</v>
      </c>
      <c r="D39" s="27" t="s">
        <v>226</v>
      </c>
      <c r="E39" s="28" t="s">
        <v>228</v>
      </c>
      <c r="F39" s="20" t="s">
        <v>183</v>
      </c>
      <c r="G39" s="30">
        <v>163907</v>
      </c>
      <c r="H39" s="16">
        <v>4.5</v>
      </c>
      <c r="I39" s="22">
        <f t="shared" si="2"/>
        <v>737581.5</v>
      </c>
      <c r="J39" s="23">
        <v>1</v>
      </c>
      <c r="K39" s="24">
        <f t="shared" si="5"/>
        <v>737581.5</v>
      </c>
      <c r="L39" s="24">
        <v>800000</v>
      </c>
      <c r="M39" s="23">
        <v>1</v>
      </c>
      <c r="N39" s="24">
        <f t="shared" si="6"/>
        <v>800000</v>
      </c>
      <c r="O39" s="24">
        <v>70000</v>
      </c>
      <c r="P39" s="23">
        <v>1</v>
      </c>
      <c r="Q39" s="24">
        <f t="shared" si="3"/>
        <v>70000</v>
      </c>
      <c r="R39" s="24">
        <f t="shared" si="4"/>
        <v>1607581.5</v>
      </c>
      <c r="S39" s="26"/>
    </row>
    <row r="40" spans="1:19" s="31" customFormat="1" ht="45" x14ac:dyDescent="0.25">
      <c r="A40" s="16" t="s">
        <v>169</v>
      </c>
      <c r="B40" s="16" t="s">
        <v>170</v>
      </c>
      <c r="C40" s="17" t="s">
        <v>184</v>
      </c>
      <c r="D40" s="27" t="s">
        <v>229</v>
      </c>
      <c r="E40" s="32" t="s">
        <v>230</v>
      </c>
      <c r="F40" s="20" t="s">
        <v>55</v>
      </c>
      <c r="G40" s="30">
        <v>190723</v>
      </c>
      <c r="H40" s="16">
        <v>4.5</v>
      </c>
      <c r="I40" s="22">
        <f t="shared" si="2"/>
        <v>858253.5</v>
      </c>
      <c r="J40" s="23">
        <v>1</v>
      </c>
      <c r="K40" s="24">
        <f t="shared" si="5"/>
        <v>858253.5</v>
      </c>
      <c r="L40" s="24">
        <v>800000</v>
      </c>
      <c r="M40" s="23">
        <v>1</v>
      </c>
      <c r="N40" s="24">
        <f t="shared" si="6"/>
        <v>800000</v>
      </c>
      <c r="O40" s="24">
        <v>70000</v>
      </c>
      <c r="P40" s="23">
        <v>1</v>
      </c>
      <c r="Q40" s="24">
        <f t="shared" si="3"/>
        <v>70000</v>
      </c>
      <c r="R40" s="24">
        <f t="shared" si="4"/>
        <v>1728253.5</v>
      </c>
      <c r="S40" s="26"/>
    </row>
    <row r="41" spans="1:19" s="31" customFormat="1" ht="45" x14ac:dyDescent="0.25">
      <c r="A41" s="16" t="s">
        <v>169</v>
      </c>
      <c r="B41" s="16" t="s">
        <v>170</v>
      </c>
      <c r="C41" s="17" t="s">
        <v>184</v>
      </c>
      <c r="D41" s="27" t="s">
        <v>229</v>
      </c>
      <c r="E41" s="32" t="s">
        <v>231</v>
      </c>
      <c r="F41" s="20" t="s">
        <v>55</v>
      </c>
      <c r="G41" s="30">
        <v>190723</v>
      </c>
      <c r="H41" s="16">
        <v>3.5</v>
      </c>
      <c r="I41" s="22">
        <f t="shared" si="2"/>
        <v>667530.5</v>
      </c>
      <c r="J41" s="23">
        <v>1</v>
      </c>
      <c r="K41" s="24">
        <f t="shared" si="5"/>
        <v>667530.5</v>
      </c>
      <c r="L41" s="24">
        <v>800000</v>
      </c>
      <c r="M41" s="23">
        <v>1</v>
      </c>
      <c r="N41" s="24">
        <f t="shared" si="6"/>
        <v>800000</v>
      </c>
      <c r="O41" s="24">
        <v>70000</v>
      </c>
      <c r="P41" s="23">
        <v>1</v>
      </c>
      <c r="Q41" s="24">
        <f t="shared" si="3"/>
        <v>70000</v>
      </c>
      <c r="R41" s="24">
        <f t="shared" si="4"/>
        <v>1537530.5</v>
      </c>
      <c r="S41" s="26"/>
    </row>
    <row r="42" spans="1:19" s="31" customFormat="1" ht="30" x14ac:dyDescent="0.25">
      <c r="A42" s="16" t="s">
        <v>169</v>
      </c>
      <c r="B42" s="16" t="s">
        <v>170</v>
      </c>
      <c r="C42" s="17" t="s">
        <v>184</v>
      </c>
      <c r="D42" s="27" t="s">
        <v>232</v>
      </c>
      <c r="E42" s="17" t="s">
        <v>233</v>
      </c>
      <c r="F42" s="20" t="s">
        <v>49</v>
      </c>
      <c r="G42" s="29">
        <v>190723</v>
      </c>
      <c r="H42" s="16">
        <v>4.5</v>
      </c>
      <c r="I42" s="22">
        <f t="shared" si="2"/>
        <v>858253.5</v>
      </c>
      <c r="J42" s="23">
        <v>1</v>
      </c>
      <c r="K42" s="24">
        <f t="shared" si="5"/>
        <v>858253.5</v>
      </c>
      <c r="L42" s="24">
        <v>800000</v>
      </c>
      <c r="M42" s="23">
        <v>1</v>
      </c>
      <c r="N42" s="24">
        <f t="shared" si="6"/>
        <v>800000</v>
      </c>
      <c r="O42" s="24">
        <v>70000</v>
      </c>
      <c r="P42" s="23">
        <v>1</v>
      </c>
      <c r="Q42" s="24">
        <f t="shared" si="3"/>
        <v>70000</v>
      </c>
      <c r="R42" s="24">
        <f t="shared" si="4"/>
        <v>1728253.5</v>
      </c>
      <c r="S42" s="26"/>
    </row>
    <row r="43" spans="1:19" s="31" customFormat="1" ht="30" x14ac:dyDescent="0.25">
      <c r="A43" s="16" t="s">
        <v>169</v>
      </c>
      <c r="B43" s="16" t="s">
        <v>170</v>
      </c>
      <c r="C43" s="17" t="s">
        <v>184</v>
      </c>
      <c r="D43" s="27" t="s">
        <v>232</v>
      </c>
      <c r="E43" s="17" t="s">
        <v>234</v>
      </c>
      <c r="F43" s="20" t="s">
        <v>49</v>
      </c>
      <c r="G43" s="29">
        <v>190723</v>
      </c>
      <c r="H43" s="16">
        <v>3.5</v>
      </c>
      <c r="I43" s="22">
        <f t="shared" si="2"/>
        <v>667530.5</v>
      </c>
      <c r="J43" s="23">
        <v>1</v>
      </c>
      <c r="K43" s="24">
        <f t="shared" si="5"/>
        <v>667530.5</v>
      </c>
      <c r="L43" s="24">
        <v>800000</v>
      </c>
      <c r="M43" s="23">
        <v>1</v>
      </c>
      <c r="N43" s="24">
        <f t="shared" si="6"/>
        <v>800000</v>
      </c>
      <c r="O43" s="24">
        <v>70000</v>
      </c>
      <c r="P43" s="23">
        <v>1</v>
      </c>
      <c r="Q43" s="24">
        <f t="shared" si="3"/>
        <v>70000</v>
      </c>
      <c r="R43" s="24">
        <f t="shared" si="4"/>
        <v>1537530.5</v>
      </c>
      <c r="S43" s="26"/>
    </row>
    <row r="44" spans="1:19" s="31" customFormat="1" ht="45" x14ac:dyDescent="0.25">
      <c r="A44" s="16" t="s">
        <v>169</v>
      </c>
      <c r="B44" s="16" t="s">
        <v>170</v>
      </c>
      <c r="C44" s="17" t="s">
        <v>192</v>
      </c>
      <c r="D44" s="27" t="s">
        <v>108</v>
      </c>
      <c r="E44" s="16" t="s">
        <v>235</v>
      </c>
      <c r="F44" s="20" t="s">
        <v>55</v>
      </c>
      <c r="G44" s="30">
        <v>190723</v>
      </c>
      <c r="H44" s="16">
        <v>4.5</v>
      </c>
      <c r="I44" s="22">
        <f t="shared" si="2"/>
        <v>858253.5</v>
      </c>
      <c r="J44" s="23">
        <v>1</v>
      </c>
      <c r="K44" s="24">
        <f t="shared" si="5"/>
        <v>858253.5</v>
      </c>
      <c r="L44" s="22">
        <v>800000</v>
      </c>
      <c r="M44" s="23">
        <v>1</v>
      </c>
      <c r="N44" s="24">
        <f t="shared" si="6"/>
        <v>800000</v>
      </c>
      <c r="O44" s="24">
        <v>70000</v>
      </c>
      <c r="P44" s="23">
        <v>1</v>
      </c>
      <c r="Q44" s="24">
        <f t="shared" si="3"/>
        <v>70000</v>
      </c>
      <c r="R44" s="24">
        <f t="shared" si="4"/>
        <v>1728253.5</v>
      </c>
      <c r="S44" s="26"/>
    </row>
    <row r="45" spans="1:19" s="31" customFormat="1" ht="45" x14ac:dyDescent="0.25">
      <c r="A45" s="16" t="s">
        <v>169</v>
      </c>
      <c r="B45" s="16" t="s">
        <v>170</v>
      </c>
      <c r="C45" s="17" t="s">
        <v>192</v>
      </c>
      <c r="D45" s="27" t="s">
        <v>108</v>
      </c>
      <c r="E45" s="16" t="s">
        <v>236</v>
      </c>
      <c r="F45" s="20" t="s">
        <v>55</v>
      </c>
      <c r="G45" s="30">
        <v>190723</v>
      </c>
      <c r="H45" s="16">
        <v>3.5</v>
      </c>
      <c r="I45" s="22">
        <f t="shared" si="2"/>
        <v>667530.5</v>
      </c>
      <c r="J45" s="23">
        <v>1</v>
      </c>
      <c r="K45" s="24">
        <f t="shared" si="5"/>
        <v>667530.5</v>
      </c>
      <c r="L45" s="22">
        <v>800000</v>
      </c>
      <c r="M45" s="23">
        <v>1</v>
      </c>
      <c r="N45" s="24">
        <f t="shared" si="6"/>
        <v>800000</v>
      </c>
      <c r="O45" s="24">
        <v>70000</v>
      </c>
      <c r="P45" s="23">
        <v>1</v>
      </c>
      <c r="Q45" s="24">
        <f t="shared" si="3"/>
        <v>70000</v>
      </c>
      <c r="R45" s="24">
        <f t="shared" si="4"/>
        <v>1537530.5</v>
      </c>
      <c r="S45" s="26"/>
    </row>
    <row r="46" spans="1:19" s="31" customFormat="1" ht="30" x14ac:dyDescent="0.25">
      <c r="A46" s="16" t="s">
        <v>169</v>
      </c>
      <c r="B46" s="16" t="s">
        <v>170</v>
      </c>
      <c r="C46" s="17" t="s">
        <v>205</v>
      </c>
      <c r="D46" s="27" t="s">
        <v>237</v>
      </c>
      <c r="E46" s="32" t="s">
        <v>238</v>
      </c>
      <c r="F46" s="20" t="s">
        <v>190</v>
      </c>
      <c r="G46" s="30">
        <v>163907</v>
      </c>
      <c r="H46" s="16">
        <v>4.5</v>
      </c>
      <c r="I46" s="22">
        <f t="shared" si="2"/>
        <v>737581.5</v>
      </c>
      <c r="J46" s="23">
        <v>1</v>
      </c>
      <c r="K46" s="24">
        <f t="shared" si="5"/>
        <v>737581.5</v>
      </c>
      <c r="L46" s="24">
        <v>800000</v>
      </c>
      <c r="M46" s="23">
        <v>1</v>
      </c>
      <c r="N46" s="24">
        <f t="shared" si="6"/>
        <v>800000</v>
      </c>
      <c r="O46" s="24">
        <v>70000</v>
      </c>
      <c r="P46" s="23">
        <v>1</v>
      </c>
      <c r="Q46" s="24">
        <f t="shared" si="3"/>
        <v>70000</v>
      </c>
      <c r="R46" s="24">
        <f t="shared" si="4"/>
        <v>1607581.5</v>
      </c>
      <c r="S46" s="26"/>
    </row>
    <row r="47" spans="1:19" s="31" customFormat="1" ht="30" x14ac:dyDescent="0.25">
      <c r="A47" s="16" t="s">
        <v>169</v>
      </c>
      <c r="B47" s="16" t="s">
        <v>170</v>
      </c>
      <c r="C47" s="17" t="s">
        <v>205</v>
      </c>
      <c r="D47" s="27" t="s">
        <v>237</v>
      </c>
      <c r="E47" s="32" t="s">
        <v>239</v>
      </c>
      <c r="F47" s="20" t="s">
        <v>190</v>
      </c>
      <c r="G47" s="30">
        <v>163907</v>
      </c>
      <c r="H47" s="16">
        <v>3.5</v>
      </c>
      <c r="I47" s="22">
        <f t="shared" si="2"/>
        <v>573674.5</v>
      </c>
      <c r="J47" s="23">
        <v>1</v>
      </c>
      <c r="K47" s="24">
        <f t="shared" si="5"/>
        <v>573674.5</v>
      </c>
      <c r="L47" s="24">
        <v>800000</v>
      </c>
      <c r="M47" s="23">
        <v>1</v>
      </c>
      <c r="N47" s="24">
        <f t="shared" si="6"/>
        <v>800000</v>
      </c>
      <c r="O47" s="24">
        <v>70000</v>
      </c>
      <c r="P47" s="23">
        <v>1</v>
      </c>
      <c r="Q47" s="24">
        <f t="shared" si="3"/>
        <v>70000</v>
      </c>
      <c r="R47" s="24">
        <f t="shared" si="4"/>
        <v>1443674.5</v>
      </c>
      <c r="S47" s="26"/>
    </row>
    <row r="48" spans="1:19" s="31" customFormat="1" ht="30" x14ac:dyDescent="0.25">
      <c r="A48" s="16" t="s">
        <v>169</v>
      </c>
      <c r="B48" s="16" t="s">
        <v>170</v>
      </c>
      <c r="C48" s="16" t="s">
        <v>240</v>
      </c>
      <c r="D48" s="27" t="s">
        <v>241</v>
      </c>
      <c r="E48" s="28" t="s">
        <v>242</v>
      </c>
      <c r="F48" s="20" t="s">
        <v>46</v>
      </c>
      <c r="G48" s="30">
        <v>190723</v>
      </c>
      <c r="H48" s="16">
        <v>4.5</v>
      </c>
      <c r="I48" s="22">
        <f t="shared" si="2"/>
        <v>858253.5</v>
      </c>
      <c r="J48" s="23">
        <v>1</v>
      </c>
      <c r="K48" s="24">
        <f t="shared" si="5"/>
        <v>858253.5</v>
      </c>
      <c r="L48" s="24">
        <v>800000</v>
      </c>
      <c r="M48" s="23">
        <v>1</v>
      </c>
      <c r="N48" s="24">
        <f t="shared" si="6"/>
        <v>800000</v>
      </c>
      <c r="O48" s="24">
        <v>70000</v>
      </c>
      <c r="P48" s="23">
        <v>1</v>
      </c>
      <c r="Q48" s="24">
        <f t="shared" si="3"/>
        <v>70000</v>
      </c>
      <c r="R48" s="24">
        <f t="shared" si="4"/>
        <v>1728253.5</v>
      </c>
      <c r="S48" s="26"/>
    </row>
    <row r="49" spans="1:19" s="31" customFormat="1" ht="30" x14ac:dyDescent="0.25">
      <c r="A49" s="16" t="s">
        <v>169</v>
      </c>
      <c r="B49" s="16" t="s">
        <v>170</v>
      </c>
      <c r="C49" s="16" t="s">
        <v>240</v>
      </c>
      <c r="D49" s="27" t="s">
        <v>241</v>
      </c>
      <c r="E49" s="28" t="s">
        <v>243</v>
      </c>
      <c r="F49" s="20" t="s">
        <v>46</v>
      </c>
      <c r="G49" s="30">
        <v>190723</v>
      </c>
      <c r="H49" s="16">
        <v>3.5</v>
      </c>
      <c r="I49" s="22">
        <f t="shared" si="2"/>
        <v>667530.5</v>
      </c>
      <c r="J49" s="23">
        <v>1</v>
      </c>
      <c r="K49" s="24">
        <f t="shared" si="5"/>
        <v>667530.5</v>
      </c>
      <c r="L49" s="24">
        <v>800000</v>
      </c>
      <c r="M49" s="23">
        <v>1</v>
      </c>
      <c r="N49" s="24">
        <f t="shared" si="6"/>
        <v>800000</v>
      </c>
      <c r="O49" s="24">
        <v>70000</v>
      </c>
      <c r="P49" s="23">
        <v>1</v>
      </c>
      <c r="Q49" s="24">
        <f t="shared" si="3"/>
        <v>70000</v>
      </c>
      <c r="R49" s="24">
        <f t="shared" si="4"/>
        <v>1537530.5</v>
      </c>
      <c r="S49" s="26"/>
    </row>
    <row r="50" spans="1:19" s="31" customFormat="1" ht="30" x14ac:dyDescent="0.25">
      <c r="A50" s="16" t="s">
        <v>169</v>
      </c>
      <c r="B50" s="16" t="s">
        <v>170</v>
      </c>
      <c r="C50" s="17" t="s">
        <v>171</v>
      </c>
      <c r="D50" s="27" t="s">
        <v>244</v>
      </c>
      <c r="E50" s="28" t="s">
        <v>245</v>
      </c>
      <c r="F50" s="20" t="s">
        <v>183</v>
      </c>
      <c r="G50" s="30">
        <v>163907</v>
      </c>
      <c r="H50" s="16">
        <v>4.5</v>
      </c>
      <c r="I50" s="22">
        <f t="shared" si="2"/>
        <v>737581.5</v>
      </c>
      <c r="J50" s="23">
        <v>1</v>
      </c>
      <c r="K50" s="24">
        <f t="shared" si="5"/>
        <v>737581.5</v>
      </c>
      <c r="L50" s="24">
        <v>800000</v>
      </c>
      <c r="M50" s="23">
        <v>1</v>
      </c>
      <c r="N50" s="24">
        <f t="shared" si="6"/>
        <v>800000</v>
      </c>
      <c r="O50" s="24">
        <v>70000</v>
      </c>
      <c r="P50" s="23">
        <v>1</v>
      </c>
      <c r="Q50" s="24">
        <f t="shared" si="3"/>
        <v>70000</v>
      </c>
      <c r="R50" s="24">
        <f t="shared" si="4"/>
        <v>1607581.5</v>
      </c>
      <c r="S50" s="26"/>
    </row>
    <row r="51" spans="1:19" s="31" customFormat="1" ht="30" x14ac:dyDescent="0.25">
      <c r="A51" s="16" t="s">
        <v>169</v>
      </c>
      <c r="B51" s="16" t="s">
        <v>170</v>
      </c>
      <c r="C51" s="17" t="s">
        <v>171</v>
      </c>
      <c r="D51" s="27" t="s">
        <v>244</v>
      </c>
      <c r="E51" s="28" t="s">
        <v>246</v>
      </c>
      <c r="F51" s="20" t="s">
        <v>183</v>
      </c>
      <c r="G51" s="30">
        <v>163907</v>
      </c>
      <c r="H51" s="16">
        <v>3.5</v>
      </c>
      <c r="I51" s="22">
        <f t="shared" si="2"/>
        <v>573674.5</v>
      </c>
      <c r="J51" s="23">
        <v>1</v>
      </c>
      <c r="K51" s="24">
        <f t="shared" si="5"/>
        <v>573674.5</v>
      </c>
      <c r="L51" s="24">
        <v>800000</v>
      </c>
      <c r="M51" s="23">
        <v>1</v>
      </c>
      <c r="N51" s="24">
        <f t="shared" si="6"/>
        <v>800000</v>
      </c>
      <c r="O51" s="24">
        <v>70000</v>
      </c>
      <c r="P51" s="23">
        <v>1</v>
      </c>
      <c r="Q51" s="24">
        <f t="shared" si="3"/>
        <v>70000</v>
      </c>
      <c r="R51" s="24">
        <f t="shared" si="4"/>
        <v>1443674.5</v>
      </c>
      <c r="S51" s="26"/>
    </row>
    <row r="52" spans="1:19" ht="30" x14ac:dyDescent="0.25">
      <c r="A52" s="16" t="s">
        <v>169</v>
      </c>
      <c r="B52" s="16" t="s">
        <v>170</v>
      </c>
      <c r="C52" s="17" t="s">
        <v>175</v>
      </c>
      <c r="D52" s="27" t="s">
        <v>247</v>
      </c>
      <c r="E52" s="28" t="s">
        <v>248</v>
      </c>
      <c r="F52" s="20" t="s">
        <v>183</v>
      </c>
      <c r="G52" s="30">
        <v>163907</v>
      </c>
      <c r="H52" s="16">
        <v>4.5</v>
      </c>
      <c r="I52" s="22">
        <f t="shared" si="2"/>
        <v>737581.5</v>
      </c>
      <c r="J52" s="23">
        <v>1</v>
      </c>
      <c r="K52" s="24">
        <f t="shared" si="5"/>
        <v>737581.5</v>
      </c>
      <c r="L52" s="24">
        <v>800000</v>
      </c>
      <c r="M52" s="23">
        <v>1</v>
      </c>
      <c r="N52" s="24">
        <f t="shared" si="6"/>
        <v>800000</v>
      </c>
      <c r="O52" s="24">
        <v>70000</v>
      </c>
      <c r="P52" s="23">
        <v>1</v>
      </c>
      <c r="Q52" s="24">
        <f t="shared" si="3"/>
        <v>70000</v>
      </c>
      <c r="R52" s="24">
        <f t="shared" si="4"/>
        <v>1607581.5</v>
      </c>
    </row>
    <row r="53" spans="1:19" ht="30" x14ac:dyDescent="0.25">
      <c r="A53" s="16" t="s">
        <v>169</v>
      </c>
      <c r="B53" s="16" t="s">
        <v>170</v>
      </c>
      <c r="C53" s="17" t="s">
        <v>175</v>
      </c>
      <c r="D53" s="27" t="s">
        <v>247</v>
      </c>
      <c r="E53" s="28" t="s">
        <v>249</v>
      </c>
      <c r="F53" s="20" t="s">
        <v>183</v>
      </c>
      <c r="G53" s="30">
        <v>163907</v>
      </c>
      <c r="H53" s="16">
        <v>3.5</v>
      </c>
      <c r="I53" s="22">
        <f t="shared" si="2"/>
        <v>573674.5</v>
      </c>
      <c r="J53" s="23">
        <v>1</v>
      </c>
      <c r="K53" s="24">
        <f t="shared" si="5"/>
        <v>573674.5</v>
      </c>
      <c r="L53" s="24">
        <v>800000</v>
      </c>
      <c r="M53" s="23">
        <v>1</v>
      </c>
      <c r="N53" s="24">
        <f t="shared" si="6"/>
        <v>800000</v>
      </c>
      <c r="O53" s="24">
        <v>70000</v>
      </c>
      <c r="P53" s="23">
        <v>1</v>
      </c>
      <c r="Q53" s="24">
        <f t="shared" si="3"/>
        <v>70000</v>
      </c>
      <c r="R53" s="24">
        <f t="shared" si="4"/>
        <v>1443674.5</v>
      </c>
    </row>
    <row r="54" spans="1:19" ht="30" x14ac:dyDescent="0.25">
      <c r="A54" s="16" t="s">
        <v>169</v>
      </c>
      <c r="B54" s="16" t="s">
        <v>170</v>
      </c>
      <c r="C54" s="17" t="s">
        <v>175</v>
      </c>
      <c r="D54" s="27" t="s">
        <v>250</v>
      </c>
      <c r="E54" s="28" t="s">
        <v>251</v>
      </c>
      <c r="F54" s="20" t="s">
        <v>44</v>
      </c>
      <c r="G54" s="30">
        <v>190723</v>
      </c>
      <c r="H54" s="16">
        <v>4.5</v>
      </c>
      <c r="I54" s="22">
        <f t="shared" si="2"/>
        <v>858253.5</v>
      </c>
      <c r="J54" s="23">
        <v>1</v>
      </c>
      <c r="K54" s="24">
        <f t="shared" si="5"/>
        <v>858253.5</v>
      </c>
      <c r="L54" s="24">
        <v>800000</v>
      </c>
      <c r="M54" s="23">
        <v>1</v>
      </c>
      <c r="N54" s="24">
        <f t="shared" si="6"/>
        <v>800000</v>
      </c>
      <c r="O54" s="24">
        <v>70000</v>
      </c>
      <c r="P54" s="23">
        <v>1</v>
      </c>
      <c r="Q54" s="24">
        <f t="shared" si="3"/>
        <v>70000</v>
      </c>
      <c r="R54" s="24">
        <f t="shared" si="4"/>
        <v>1728253.5</v>
      </c>
    </row>
    <row r="55" spans="1:19" ht="30" x14ac:dyDescent="0.25">
      <c r="A55" s="16" t="s">
        <v>169</v>
      </c>
      <c r="B55" s="16" t="s">
        <v>170</v>
      </c>
      <c r="C55" s="17" t="s">
        <v>175</v>
      </c>
      <c r="D55" s="27" t="s">
        <v>250</v>
      </c>
      <c r="E55" s="28" t="s">
        <v>252</v>
      </c>
      <c r="F55" s="20" t="s">
        <v>44</v>
      </c>
      <c r="G55" s="30">
        <v>190723</v>
      </c>
      <c r="H55" s="16">
        <v>3.5</v>
      </c>
      <c r="I55" s="22">
        <f t="shared" si="2"/>
        <v>667530.5</v>
      </c>
      <c r="J55" s="23">
        <v>1</v>
      </c>
      <c r="K55" s="24">
        <f t="shared" si="5"/>
        <v>667530.5</v>
      </c>
      <c r="L55" s="24">
        <v>800000</v>
      </c>
      <c r="M55" s="23">
        <v>1</v>
      </c>
      <c r="N55" s="24">
        <f t="shared" si="6"/>
        <v>800000</v>
      </c>
      <c r="O55" s="24">
        <v>70000</v>
      </c>
      <c r="P55" s="23">
        <v>1</v>
      </c>
      <c r="Q55" s="24">
        <f t="shared" si="3"/>
        <v>70000</v>
      </c>
      <c r="R55" s="24">
        <f t="shared" si="4"/>
        <v>1537530.5</v>
      </c>
    </row>
    <row r="56" spans="1:19" ht="30" x14ac:dyDescent="0.25">
      <c r="A56" s="16" t="s">
        <v>169</v>
      </c>
      <c r="B56" s="16" t="s">
        <v>170</v>
      </c>
      <c r="C56" s="17" t="s">
        <v>184</v>
      </c>
      <c r="D56" s="27" t="s">
        <v>253</v>
      </c>
      <c r="E56" s="27" t="s">
        <v>254</v>
      </c>
      <c r="F56" s="20" t="s">
        <v>52</v>
      </c>
      <c r="G56" s="30">
        <v>190723</v>
      </c>
      <c r="H56" s="16">
        <v>4.5</v>
      </c>
      <c r="I56" s="22">
        <f t="shared" si="2"/>
        <v>858253.5</v>
      </c>
      <c r="J56" s="23">
        <v>1</v>
      </c>
      <c r="K56" s="24">
        <f t="shared" si="5"/>
        <v>858253.5</v>
      </c>
      <c r="L56" s="24">
        <v>800000</v>
      </c>
      <c r="M56" s="23">
        <v>1</v>
      </c>
      <c r="N56" s="24">
        <f t="shared" si="6"/>
        <v>800000</v>
      </c>
      <c r="O56" s="24">
        <v>70000</v>
      </c>
      <c r="P56" s="23">
        <v>1</v>
      </c>
      <c r="Q56" s="24">
        <f t="shared" si="3"/>
        <v>70000</v>
      </c>
      <c r="R56" s="24">
        <f t="shared" si="4"/>
        <v>1728253.5</v>
      </c>
    </row>
    <row r="57" spans="1:19" ht="30" x14ac:dyDescent="0.25">
      <c r="A57" s="16" t="s">
        <v>169</v>
      </c>
      <c r="B57" s="16" t="s">
        <v>170</v>
      </c>
      <c r="C57" s="17" t="s">
        <v>184</v>
      </c>
      <c r="D57" s="27" t="s">
        <v>253</v>
      </c>
      <c r="E57" s="27" t="s">
        <v>255</v>
      </c>
      <c r="F57" s="20" t="s">
        <v>52</v>
      </c>
      <c r="G57" s="30">
        <v>190723</v>
      </c>
      <c r="H57" s="16">
        <v>3.5</v>
      </c>
      <c r="I57" s="22">
        <f t="shared" si="2"/>
        <v>667530.5</v>
      </c>
      <c r="J57" s="23">
        <v>1</v>
      </c>
      <c r="K57" s="24">
        <f t="shared" si="5"/>
        <v>667530.5</v>
      </c>
      <c r="L57" s="24">
        <v>800000</v>
      </c>
      <c r="M57" s="23">
        <v>1</v>
      </c>
      <c r="N57" s="24">
        <f t="shared" si="6"/>
        <v>800000</v>
      </c>
      <c r="O57" s="24">
        <v>70000</v>
      </c>
      <c r="P57" s="23">
        <v>1</v>
      </c>
      <c r="Q57" s="24">
        <f t="shared" si="3"/>
        <v>70000</v>
      </c>
      <c r="R57" s="24">
        <f t="shared" si="4"/>
        <v>1537530.5</v>
      </c>
    </row>
    <row r="58" spans="1:19" ht="30" x14ac:dyDescent="0.25">
      <c r="A58" s="16" t="s">
        <v>169</v>
      </c>
      <c r="B58" s="16" t="s">
        <v>170</v>
      </c>
      <c r="C58" s="17" t="s">
        <v>184</v>
      </c>
      <c r="D58" s="27" t="s">
        <v>256</v>
      </c>
      <c r="E58" s="28" t="s">
        <v>257</v>
      </c>
      <c r="F58" s="20" t="s">
        <v>46</v>
      </c>
      <c r="G58" s="30">
        <v>190723</v>
      </c>
      <c r="H58" s="16">
        <v>4.5</v>
      </c>
      <c r="I58" s="22">
        <f t="shared" si="2"/>
        <v>858253.5</v>
      </c>
      <c r="J58" s="23">
        <v>1</v>
      </c>
      <c r="K58" s="24">
        <f t="shared" si="5"/>
        <v>858253.5</v>
      </c>
      <c r="L58" s="24">
        <v>800000</v>
      </c>
      <c r="M58" s="23">
        <v>1</v>
      </c>
      <c r="N58" s="24">
        <f t="shared" si="6"/>
        <v>800000</v>
      </c>
      <c r="O58" s="24">
        <v>70000</v>
      </c>
      <c r="P58" s="23">
        <v>1</v>
      </c>
      <c r="Q58" s="24">
        <f t="shared" si="3"/>
        <v>70000</v>
      </c>
      <c r="R58" s="24">
        <f t="shared" si="4"/>
        <v>1728253.5</v>
      </c>
    </row>
    <row r="59" spans="1:19" ht="30" x14ac:dyDescent="0.25">
      <c r="A59" s="16" t="s">
        <v>169</v>
      </c>
      <c r="B59" s="16" t="s">
        <v>170</v>
      </c>
      <c r="C59" s="17" t="s">
        <v>184</v>
      </c>
      <c r="D59" s="27" t="s">
        <v>256</v>
      </c>
      <c r="E59" s="28" t="s">
        <v>258</v>
      </c>
      <c r="F59" s="20" t="s">
        <v>46</v>
      </c>
      <c r="G59" s="30">
        <v>190723</v>
      </c>
      <c r="H59" s="16">
        <v>3.5</v>
      </c>
      <c r="I59" s="22">
        <f t="shared" si="2"/>
        <v>667530.5</v>
      </c>
      <c r="J59" s="23">
        <v>1</v>
      </c>
      <c r="K59" s="24">
        <f t="shared" si="5"/>
        <v>667530.5</v>
      </c>
      <c r="L59" s="24">
        <v>800000</v>
      </c>
      <c r="M59" s="23">
        <v>1</v>
      </c>
      <c r="N59" s="24">
        <f t="shared" si="6"/>
        <v>800000</v>
      </c>
      <c r="O59" s="24">
        <v>70000</v>
      </c>
      <c r="P59" s="23">
        <v>1</v>
      </c>
      <c r="Q59" s="24">
        <f t="shared" si="3"/>
        <v>70000</v>
      </c>
      <c r="R59" s="24">
        <f t="shared" si="4"/>
        <v>1537530.5</v>
      </c>
    </row>
    <row r="60" spans="1:19" ht="30" x14ac:dyDescent="0.25">
      <c r="A60" s="16" t="s">
        <v>169</v>
      </c>
      <c r="B60" s="16" t="s">
        <v>170</v>
      </c>
      <c r="C60" s="17" t="s">
        <v>184</v>
      </c>
      <c r="D60" s="27" t="s">
        <v>259</v>
      </c>
      <c r="E60" s="28" t="s">
        <v>260</v>
      </c>
      <c r="F60" s="20" t="s">
        <v>183</v>
      </c>
      <c r="G60" s="30">
        <v>163907</v>
      </c>
      <c r="H60" s="16">
        <v>4.5</v>
      </c>
      <c r="I60" s="22">
        <f t="shared" si="2"/>
        <v>737581.5</v>
      </c>
      <c r="J60" s="23">
        <v>1</v>
      </c>
      <c r="K60" s="24">
        <f t="shared" si="5"/>
        <v>737581.5</v>
      </c>
      <c r="L60" s="24">
        <v>800000</v>
      </c>
      <c r="M60" s="23">
        <v>1</v>
      </c>
      <c r="N60" s="24">
        <f t="shared" si="6"/>
        <v>800000</v>
      </c>
      <c r="O60" s="24">
        <v>70000</v>
      </c>
      <c r="P60" s="23">
        <v>1</v>
      </c>
      <c r="Q60" s="24">
        <f t="shared" si="3"/>
        <v>70000</v>
      </c>
      <c r="R60" s="24">
        <f t="shared" si="4"/>
        <v>1607581.5</v>
      </c>
    </row>
    <row r="61" spans="1:19" ht="30" x14ac:dyDescent="0.25">
      <c r="A61" s="16" t="s">
        <v>169</v>
      </c>
      <c r="B61" s="16" t="s">
        <v>170</v>
      </c>
      <c r="C61" s="17" t="s">
        <v>184</v>
      </c>
      <c r="D61" s="27" t="s">
        <v>259</v>
      </c>
      <c r="E61" s="28" t="s">
        <v>261</v>
      </c>
      <c r="F61" s="20" t="s">
        <v>183</v>
      </c>
      <c r="G61" s="30">
        <v>163907</v>
      </c>
      <c r="H61" s="16">
        <v>3.5</v>
      </c>
      <c r="I61" s="22">
        <f t="shared" si="2"/>
        <v>573674.5</v>
      </c>
      <c r="J61" s="23">
        <v>1</v>
      </c>
      <c r="K61" s="24">
        <f t="shared" si="5"/>
        <v>573674.5</v>
      </c>
      <c r="L61" s="24">
        <v>800000</v>
      </c>
      <c r="M61" s="23">
        <v>1</v>
      </c>
      <c r="N61" s="24">
        <f t="shared" si="6"/>
        <v>800000</v>
      </c>
      <c r="O61" s="24">
        <v>70000</v>
      </c>
      <c r="P61" s="23">
        <v>1</v>
      </c>
      <c r="Q61" s="24">
        <f t="shared" si="3"/>
        <v>70000</v>
      </c>
      <c r="R61" s="24">
        <f t="shared" si="4"/>
        <v>1443674.5</v>
      </c>
    </row>
    <row r="62" spans="1:19" ht="30" x14ac:dyDescent="0.25">
      <c r="A62" s="16" t="s">
        <v>169</v>
      </c>
      <c r="B62" s="16" t="s">
        <v>170</v>
      </c>
      <c r="C62" s="17"/>
      <c r="D62" s="27" t="s">
        <v>262</v>
      </c>
      <c r="E62" s="33" t="s">
        <v>263</v>
      </c>
      <c r="F62" s="20" t="s">
        <v>46</v>
      </c>
      <c r="G62" s="30">
        <v>190723</v>
      </c>
      <c r="H62" s="16">
        <v>4.5</v>
      </c>
      <c r="I62" s="22">
        <f t="shared" si="2"/>
        <v>858253.5</v>
      </c>
      <c r="J62" s="23">
        <v>1</v>
      </c>
      <c r="K62" s="24">
        <f t="shared" si="5"/>
        <v>858253.5</v>
      </c>
      <c r="L62" s="24">
        <v>800000</v>
      </c>
      <c r="M62" s="23">
        <v>1</v>
      </c>
      <c r="N62" s="24">
        <f t="shared" si="6"/>
        <v>800000</v>
      </c>
      <c r="O62" s="24">
        <v>70000</v>
      </c>
      <c r="P62" s="23">
        <v>1</v>
      </c>
      <c r="Q62" s="24">
        <f t="shared" si="3"/>
        <v>70000</v>
      </c>
      <c r="R62" s="24">
        <f t="shared" si="4"/>
        <v>1728253.5</v>
      </c>
    </row>
    <row r="63" spans="1:19" ht="30" x14ac:dyDescent="0.25">
      <c r="A63" s="16" t="s">
        <v>169</v>
      </c>
      <c r="B63" s="16" t="s">
        <v>170</v>
      </c>
      <c r="C63" s="17"/>
      <c r="D63" s="27" t="s">
        <v>262</v>
      </c>
      <c r="E63" s="33" t="s">
        <v>264</v>
      </c>
      <c r="F63" s="20" t="s">
        <v>46</v>
      </c>
      <c r="G63" s="30">
        <v>190723</v>
      </c>
      <c r="H63" s="16">
        <v>3.5</v>
      </c>
      <c r="I63" s="22">
        <f t="shared" si="2"/>
        <v>667530.5</v>
      </c>
      <c r="J63" s="23">
        <v>1</v>
      </c>
      <c r="K63" s="24">
        <f t="shared" si="5"/>
        <v>667530.5</v>
      </c>
      <c r="L63" s="24">
        <v>800000</v>
      </c>
      <c r="M63" s="23">
        <v>1</v>
      </c>
      <c r="N63" s="24">
        <f t="shared" si="6"/>
        <v>800000</v>
      </c>
      <c r="O63" s="24">
        <v>70000</v>
      </c>
      <c r="P63" s="23">
        <v>1</v>
      </c>
      <c r="Q63" s="24">
        <f t="shared" si="3"/>
        <v>70000</v>
      </c>
      <c r="R63" s="24">
        <f t="shared" si="4"/>
        <v>1537530.5</v>
      </c>
    </row>
    <row r="64" spans="1:19" ht="45" x14ac:dyDescent="0.25">
      <c r="A64" s="16" t="s">
        <v>169</v>
      </c>
      <c r="B64" s="16" t="s">
        <v>170</v>
      </c>
      <c r="C64" s="17" t="s">
        <v>205</v>
      </c>
      <c r="D64" s="27" t="s">
        <v>265</v>
      </c>
      <c r="E64" s="34" t="s">
        <v>266</v>
      </c>
      <c r="F64" s="20" t="s">
        <v>29</v>
      </c>
      <c r="G64" s="30">
        <v>247196</v>
      </c>
      <c r="H64" s="16">
        <v>4.5</v>
      </c>
      <c r="I64" s="22">
        <f t="shared" si="2"/>
        <v>1112382</v>
      </c>
      <c r="J64" s="23">
        <v>1</v>
      </c>
      <c r="K64" s="24">
        <f t="shared" si="5"/>
        <v>1112382</v>
      </c>
      <c r="L64" s="24">
        <v>800000</v>
      </c>
      <c r="M64" s="23">
        <v>1</v>
      </c>
      <c r="N64" s="24">
        <f t="shared" si="6"/>
        <v>800000</v>
      </c>
      <c r="O64" s="24">
        <v>70000</v>
      </c>
      <c r="P64" s="23">
        <v>1</v>
      </c>
      <c r="Q64" s="24">
        <f t="shared" si="3"/>
        <v>70000</v>
      </c>
      <c r="R64" s="24">
        <f t="shared" si="4"/>
        <v>1982382</v>
      </c>
    </row>
    <row r="65" spans="1:19" ht="45" x14ac:dyDescent="0.25">
      <c r="A65" s="16" t="s">
        <v>169</v>
      </c>
      <c r="B65" s="16" t="s">
        <v>170</v>
      </c>
      <c r="C65" s="17" t="s">
        <v>205</v>
      </c>
      <c r="D65" s="27" t="s">
        <v>265</v>
      </c>
      <c r="E65" s="34" t="s">
        <v>267</v>
      </c>
      <c r="F65" s="20" t="s">
        <v>29</v>
      </c>
      <c r="G65" s="30">
        <v>247196</v>
      </c>
      <c r="H65" s="16">
        <v>3.5</v>
      </c>
      <c r="I65" s="22">
        <f t="shared" si="2"/>
        <v>865186</v>
      </c>
      <c r="J65" s="23">
        <v>1</v>
      </c>
      <c r="K65" s="24">
        <f t="shared" si="5"/>
        <v>865186</v>
      </c>
      <c r="L65" s="24">
        <v>800000</v>
      </c>
      <c r="M65" s="23">
        <v>1</v>
      </c>
      <c r="N65" s="24">
        <f t="shared" si="6"/>
        <v>800000</v>
      </c>
      <c r="O65" s="24">
        <v>70000</v>
      </c>
      <c r="P65" s="23">
        <v>1</v>
      </c>
      <c r="Q65" s="24">
        <f t="shared" si="3"/>
        <v>70000</v>
      </c>
      <c r="R65" s="24">
        <f t="shared" si="4"/>
        <v>1735186</v>
      </c>
    </row>
    <row r="66" spans="1:19" ht="30" x14ac:dyDescent="0.25">
      <c r="A66" s="16" t="s">
        <v>169</v>
      </c>
      <c r="B66" s="16" t="s">
        <v>170</v>
      </c>
      <c r="C66" s="17" t="s">
        <v>180</v>
      </c>
      <c r="D66" s="27" t="s">
        <v>268</v>
      </c>
      <c r="E66" s="16" t="s">
        <v>269</v>
      </c>
      <c r="F66" s="20" t="s">
        <v>50</v>
      </c>
      <c r="G66" s="29">
        <v>190723</v>
      </c>
      <c r="H66" s="16">
        <v>4.5</v>
      </c>
      <c r="I66" s="22">
        <f t="shared" si="2"/>
        <v>858253.5</v>
      </c>
      <c r="J66" s="23">
        <v>1</v>
      </c>
      <c r="K66" s="24">
        <f t="shared" si="5"/>
        <v>858253.5</v>
      </c>
      <c r="L66" s="24">
        <v>800000</v>
      </c>
      <c r="M66" s="23">
        <v>1</v>
      </c>
      <c r="N66" s="24">
        <f t="shared" si="6"/>
        <v>800000</v>
      </c>
      <c r="O66" s="24">
        <v>70000</v>
      </c>
      <c r="P66" s="23">
        <v>1</v>
      </c>
      <c r="Q66" s="24">
        <f t="shared" si="3"/>
        <v>70000</v>
      </c>
      <c r="R66" s="24">
        <f t="shared" si="4"/>
        <v>1728253.5</v>
      </c>
    </row>
    <row r="67" spans="1:19" ht="30" x14ac:dyDescent="0.25">
      <c r="A67" s="16" t="s">
        <v>169</v>
      </c>
      <c r="B67" s="16" t="s">
        <v>170</v>
      </c>
      <c r="C67" s="17" t="s">
        <v>180</v>
      </c>
      <c r="D67" s="27" t="s">
        <v>268</v>
      </c>
      <c r="E67" s="16" t="s">
        <v>270</v>
      </c>
      <c r="F67" s="20" t="s">
        <v>50</v>
      </c>
      <c r="G67" s="29">
        <v>190723</v>
      </c>
      <c r="H67" s="16">
        <v>3.5</v>
      </c>
      <c r="I67" s="22">
        <f t="shared" si="2"/>
        <v>667530.5</v>
      </c>
      <c r="J67" s="23">
        <v>1</v>
      </c>
      <c r="K67" s="24">
        <f t="shared" si="5"/>
        <v>667530.5</v>
      </c>
      <c r="L67" s="24">
        <v>800000</v>
      </c>
      <c r="M67" s="23">
        <v>1</v>
      </c>
      <c r="N67" s="24">
        <f t="shared" si="6"/>
        <v>800000</v>
      </c>
      <c r="O67" s="24">
        <v>70000</v>
      </c>
      <c r="P67" s="23">
        <v>1</v>
      </c>
      <c r="Q67" s="24">
        <f t="shared" si="3"/>
        <v>70000</v>
      </c>
      <c r="R67" s="24">
        <f t="shared" si="4"/>
        <v>1537530.5</v>
      </c>
    </row>
    <row r="68" spans="1:19" ht="30" x14ac:dyDescent="0.25">
      <c r="A68" s="16" t="s">
        <v>169</v>
      </c>
      <c r="B68" s="16" t="s">
        <v>170</v>
      </c>
      <c r="C68" s="17" t="s">
        <v>180</v>
      </c>
      <c r="D68" s="27" t="s">
        <v>271</v>
      </c>
      <c r="E68" s="28" t="s">
        <v>272</v>
      </c>
      <c r="F68" s="20" t="s">
        <v>178</v>
      </c>
      <c r="G68" s="29">
        <v>190723</v>
      </c>
      <c r="H68" s="16">
        <v>4.5</v>
      </c>
      <c r="I68" s="22">
        <f t="shared" si="2"/>
        <v>858253.5</v>
      </c>
      <c r="J68" s="23">
        <v>1</v>
      </c>
      <c r="K68" s="24">
        <f t="shared" si="5"/>
        <v>858253.5</v>
      </c>
      <c r="L68" s="24">
        <v>800000</v>
      </c>
      <c r="M68" s="23">
        <v>1</v>
      </c>
      <c r="N68" s="24">
        <f t="shared" si="6"/>
        <v>800000</v>
      </c>
      <c r="O68" s="24">
        <v>70000</v>
      </c>
      <c r="P68" s="23">
        <v>1</v>
      </c>
      <c r="Q68" s="24">
        <f t="shared" si="3"/>
        <v>70000</v>
      </c>
      <c r="R68" s="24">
        <f t="shared" si="4"/>
        <v>1728253.5</v>
      </c>
    </row>
    <row r="69" spans="1:19" ht="30" x14ac:dyDescent="0.25">
      <c r="A69" s="16" t="s">
        <v>169</v>
      </c>
      <c r="B69" s="16" t="s">
        <v>170</v>
      </c>
      <c r="C69" s="17" t="s">
        <v>180</v>
      </c>
      <c r="D69" s="27" t="s">
        <v>271</v>
      </c>
      <c r="E69" s="28" t="s">
        <v>273</v>
      </c>
      <c r="F69" s="20" t="s">
        <v>178</v>
      </c>
      <c r="G69" s="29">
        <v>190723</v>
      </c>
      <c r="H69" s="16">
        <v>3.5</v>
      </c>
      <c r="I69" s="22">
        <f t="shared" si="2"/>
        <v>667530.5</v>
      </c>
      <c r="J69" s="23">
        <v>1</v>
      </c>
      <c r="K69" s="24">
        <f t="shared" si="5"/>
        <v>667530.5</v>
      </c>
      <c r="L69" s="24">
        <v>800000</v>
      </c>
      <c r="M69" s="23">
        <v>1</v>
      </c>
      <c r="N69" s="24">
        <f t="shared" si="6"/>
        <v>800000</v>
      </c>
      <c r="O69" s="24">
        <v>70000</v>
      </c>
      <c r="P69" s="23">
        <v>1</v>
      </c>
      <c r="Q69" s="24">
        <f t="shared" si="3"/>
        <v>70000</v>
      </c>
      <c r="R69" s="24">
        <f t="shared" si="4"/>
        <v>1537530.5</v>
      </c>
    </row>
    <row r="70" spans="1:19" s="2" customFormat="1" x14ac:dyDescent="0.25">
      <c r="A70" s="35"/>
      <c r="B70" s="16" t="s">
        <v>170</v>
      </c>
      <c r="C70" s="36"/>
      <c r="D70" s="37"/>
      <c r="E70" s="38"/>
      <c r="F70" s="39"/>
      <c r="G70" s="29"/>
      <c r="H70" s="35"/>
      <c r="I70" s="35"/>
      <c r="J70" s="40"/>
      <c r="K70" s="41">
        <f>SUM(K6:K69)</f>
        <v>47344589.5</v>
      </c>
      <c r="L70" s="41"/>
      <c r="M70" s="40"/>
      <c r="N70" s="41">
        <f>SUM(N6:N69)</f>
        <v>48000000</v>
      </c>
      <c r="O70" s="41"/>
      <c r="P70" s="40"/>
      <c r="Q70" s="41">
        <f>SUM(Q6:Q69)</f>
        <v>4480000</v>
      </c>
      <c r="R70" s="24">
        <f>SUM(R6:R69)</f>
        <v>99824589.5</v>
      </c>
      <c r="S70" s="3"/>
    </row>
    <row r="71" spans="1:19" s="48" customFormat="1" ht="45" x14ac:dyDescent="0.25">
      <c r="A71" s="34" t="s">
        <v>169</v>
      </c>
      <c r="B71" s="34" t="s">
        <v>274</v>
      </c>
      <c r="C71" s="42" t="s">
        <v>175</v>
      </c>
      <c r="D71" s="43" t="s">
        <v>172</v>
      </c>
      <c r="E71" s="43" t="s">
        <v>275</v>
      </c>
      <c r="F71" s="20" t="s">
        <v>54</v>
      </c>
      <c r="G71" s="30">
        <v>247196</v>
      </c>
      <c r="H71" s="34">
        <v>3.5</v>
      </c>
      <c r="I71" s="44">
        <f t="shared" ref="I71:I91" si="7">+G71*H71</f>
        <v>865186</v>
      </c>
      <c r="J71" s="45">
        <v>1</v>
      </c>
      <c r="K71" s="46">
        <f t="shared" ref="K71:K82" si="8">+I71*J71</f>
        <v>865186</v>
      </c>
      <c r="L71" s="46">
        <v>800000</v>
      </c>
      <c r="M71" s="45">
        <v>1</v>
      </c>
      <c r="N71" s="46">
        <f t="shared" ref="N71:N82" si="9">+L71*M71</f>
        <v>800000</v>
      </c>
      <c r="O71" s="46">
        <v>70000</v>
      </c>
      <c r="P71" s="45">
        <v>1</v>
      </c>
      <c r="Q71" s="46">
        <f t="shared" ref="Q71:Q82" si="10">+O71*P71</f>
        <v>70000</v>
      </c>
      <c r="R71" s="24">
        <f t="shared" ref="R71:R82" si="11">+K71+N71+O71</f>
        <v>1735186</v>
      </c>
      <c r="S71" s="47"/>
    </row>
    <row r="72" spans="1:19" s="48" customFormat="1" ht="45" x14ac:dyDescent="0.25">
      <c r="A72" s="34" t="s">
        <v>169</v>
      </c>
      <c r="B72" s="34" t="s">
        <v>274</v>
      </c>
      <c r="C72" s="42" t="s">
        <v>175</v>
      </c>
      <c r="D72" s="43" t="s">
        <v>172</v>
      </c>
      <c r="E72" s="43" t="s">
        <v>275</v>
      </c>
      <c r="F72" s="20" t="s">
        <v>54</v>
      </c>
      <c r="G72" s="30">
        <v>247196</v>
      </c>
      <c r="H72" s="34">
        <v>2.5</v>
      </c>
      <c r="I72" s="44">
        <f t="shared" si="7"/>
        <v>617990</v>
      </c>
      <c r="J72" s="45">
        <v>1</v>
      </c>
      <c r="K72" s="46">
        <f t="shared" si="8"/>
        <v>617990</v>
      </c>
      <c r="L72" s="46">
        <v>800000</v>
      </c>
      <c r="M72" s="45">
        <v>1</v>
      </c>
      <c r="N72" s="46">
        <f t="shared" si="9"/>
        <v>800000</v>
      </c>
      <c r="O72" s="46">
        <v>70000</v>
      </c>
      <c r="P72" s="45">
        <v>1</v>
      </c>
      <c r="Q72" s="46">
        <f t="shared" si="10"/>
        <v>70000</v>
      </c>
      <c r="R72" s="24">
        <f t="shared" si="11"/>
        <v>1487990</v>
      </c>
      <c r="S72" s="47"/>
    </row>
    <row r="73" spans="1:19" ht="45" x14ac:dyDescent="0.25">
      <c r="A73" s="16" t="s">
        <v>169</v>
      </c>
      <c r="B73" s="34" t="s">
        <v>274</v>
      </c>
      <c r="C73" s="16" t="s">
        <v>240</v>
      </c>
      <c r="D73" s="27" t="s">
        <v>202</v>
      </c>
      <c r="E73" s="28" t="s">
        <v>204</v>
      </c>
      <c r="F73" s="20" t="s">
        <v>54</v>
      </c>
      <c r="G73" s="30">
        <v>247196</v>
      </c>
      <c r="H73" s="16">
        <v>4.5</v>
      </c>
      <c r="I73" s="22">
        <f t="shared" si="7"/>
        <v>1112382</v>
      </c>
      <c r="J73" s="23">
        <v>1</v>
      </c>
      <c r="K73" s="24">
        <f t="shared" si="8"/>
        <v>1112382</v>
      </c>
      <c r="L73" s="24">
        <v>800000</v>
      </c>
      <c r="M73" s="23">
        <v>1</v>
      </c>
      <c r="N73" s="24">
        <f t="shared" si="9"/>
        <v>800000</v>
      </c>
      <c r="O73" s="24">
        <v>70000</v>
      </c>
      <c r="P73" s="23">
        <v>1</v>
      </c>
      <c r="Q73" s="24">
        <f t="shared" si="10"/>
        <v>70000</v>
      </c>
      <c r="R73" s="24">
        <f t="shared" si="11"/>
        <v>1982382</v>
      </c>
    </row>
    <row r="74" spans="1:19" ht="45" x14ac:dyDescent="0.25">
      <c r="A74" s="16" t="s">
        <v>169</v>
      </c>
      <c r="B74" s="34" t="s">
        <v>274</v>
      </c>
      <c r="C74" s="16" t="s">
        <v>240</v>
      </c>
      <c r="D74" s="27" t="s">
        <v>202</v>
      </c>
      <c r="E74" s="28" t="s">
        <v>204</v>
      </c>
      <c r="F74" s="20" t="s">
        <v>54</v>
      </c>
      <c r="G74" s="30">
        <v>247196</v>
      </c>
      <c r="H74" s="16">
        <v>3.5</v>
      </c>
      <c r="I74" s="22">
        <f t="shared" si="7"/>
        <v>865186</v>
      </c>
      <c r="J74" s="23">
        <v>1</v>
      </c>
      <c r="K74" s="24">
        <f t="shared" si="8"/>
        <v>865186</v>
      </c>
      <c r="L74" s="24">
        <v>800000</v>
      </c>
      <c r="M74" s="23">
        <v>1</v>
      </c>
      <c r="N74" s="24">
        <f t="shared" si="9"/>
        <v>800000</v>
      </c>
      <c r="O74" s="24">
        <v>70000</v>
      </c>
      <c r="P74" s="23">
        <v>1</v>
      </c>
      <c r="Q74" s="24">
        <f t="shared" si="10"/>
        <v>70000</v>
      </c>
      <c r="R74" s="24">
        <f t="shared" si="11"/>
        <v>1735186</v>
      </c>
    </row>
    <row r="75" spans="1:19" ht="45" x14ac:dyDescent="0.25">
      <c r="A75" s="16" t="s">
        <v>169</v>
      </c>
      <c r="B75" s="34" t="s">
        <v>274</v>
      </c>
      <c r="C75" s="16"/>
      <c r="D75" s="27" t="s">
        <v>223</v>
      </c>
      <c r="E75" s="28" t="s">
        <v>276</v>
      </c>
      <c r="F75" s="20" t="s">
        <v>54</v>
      </c>
      <c r="G75" s="30">
        <v>247196</v>
      </c>
      <c r="H75" s="16">
        <v>4.5</v>
      </c>
      <c r="I75" s="22">
        <f t="shared" si="7"/>
        <v>1112382</v>
      </c>
      <c r="J75" s="23">
        <v>1</v>
      </c>
      <c r="K75" s="24">
        <f t="shared" si="8"/>
        <v>1112382</v>
      </c>
      <c r="L75" s="24">
        <v>800000</v>
      </c>
      <c r="M75" s="23">
        <v>1</v>
      </c>
      <c r="N75" s="24">
        <f t="shared" si="9"/>
        <v>800000</v>
      </c>
      <c r="O75" s="24">
        <v>70000</v>
      </c>
      <c r="P75" s="23">
        <v>1</v>
      </c>
      <c r="Q75" s="24">
        <f t="shared" si="10"/>
        <v>70000</v>
      </c>
      <c r="R75" s="24">
        <f t="shared" si="11"/>
        <v>1982382</v>
      </c>
    </row>
    <row r="76" spans="1:19" ht="45" x14ac:dyDescent="0.25">
      <c r="A76" s="16" t="s">
        <v>169</v>
      </c>
      <c r="B76" s="34" t="s">
        <v>274</v>
      </c>
      <c r="C76" s="16"/>
      <c r="D76" s="27" t="s">
        <v>223</v>
      </c>
      <c r="E76" s="28" t="s">
        <v>276</v>
      </c>
      <c r="F76" s="20" t="s">
        <v>54</v>
      </c>
      <c r="G76" s="30">
        <v>247196</v>
      </c>
      <c r="H76" s="16">
        <v>3.5</v>
      </c>
      <c r="I76" s="22">
        <f t="shared" si="7"/>
        <v>865186</v>
      </c>
      <c r="J76" s="23">
        <v>1</v>
      </c>
      <c r="K76" s="24">
        <f t="shared" si="8"/>
        <v>865186</v>
      </c>
      <c r="L76" s="24">
        <v>800000</v>
      </c>
      <c r="M76" s="23">
        <v>1</v>
      </c>
      <c r="N76" s="24">
        <f t="shared" si="9"/>
        <v>800000</v>
      </c>
      <c r="O76" s="24">
        <v>70000</v>
      </c>
      <c r="P76" s="23">
        <v>1</v>
      </c>
      <c r="Q76" s="24">
        <f t="shared" si="10"/>
        <v>70000</v>
      </c>
      <c r="R76" s="24">
        <f t="shared" si="11"/>
        <v>1735186</v>
      </c>
    </row>
    <row r="77" spans="1:19" ht="45" x14ac:dyDescent="0.25">
      <c r="A77" s="16" t="s">
        <v>169</v>
      </c>
      <c r="B77" s="34" t="s">
        <v>274</v>
      </c>
      <c r="C77" s="17" t="s">
        <v>180</v>
      </c>
      <c r="D77" s="27" t="s">
        <v>262</v>
      </c>
      <c r="E77" s="28" t="s">
        <v>277</v>
      </c>
      <c r="F77" s="20" t="s">
        <v>43</v>
      </c>
      <c r="G77" s="30">
        <v>163907</v>
      </c>
      <c r="H77" s="16">
        <v>4.5</v>
      </c>
      <c r="I77" s="22">
        <f t="shared" si="7"/>
        <v>737581.5</v>
      </c>
      <c r="J77" s="23">
        <v>1</v>
      </c>
      <c r="K77" s="24">
        <f t="shared" si="8"/>
        <v>737581.5</v>
      </c>
      <c r="L77" s="24">
        <v>800000</v>
      </c>
      <c r="M77" s="23">
        <v>1</v>
      </c>
      <c r="N77" s="24">
        <f t="shared" si="9"/>
        <v>800000</v>
      </c>
      <c r="O77" s="24">
        <v>70000</v>
      </c>
      <c r="P77" s="23">
        <v>1</v>
      </c>
      <c r="Q77" s="24">
        <f t="shared" si="10"/>
        <v>70000</v>
      </c>
      <c r="R77" s="24">
        <f t="shared" si="11"/>
        <v>1607581.5</v>
      </c>
    </row>
    <row r="78" spans="1:19" ht="45" x14ac:dyDescent="0.25">
      <c r="A78" s="16" t="s">
        <v>169</v>
      </c>
      <c r="B78" s="34" t="s">
        <v>274</v>
      </c>
      <c r="C78" s="17" t="s">
        <v>180</v>
      </c>
      <c r="D78" s="27" t="s">
        <v>262</v>
      </c>
      <c r="E78" s="28" t="s">
        <v>277</v>
      </c>
      <c r="F78" s="20" t="s">
        <v>43</v>
      </c>
      <c r="G78" s="30">
        <v>163907</v>
      </c>
      <c r="H78" s="16">
        <v>3.5</v>
      </c>
      <c r="I78" s="22">
        <f t="shared" si="7"/>
        <v>573674.5</v>
      </c>
      <c r="J78" s="23">
        <v>1</v>
      </c>
      <c r="K78" s="24">
        <f t="shared" si="8"/>
        <v>573674.5</v>
      </c>
      <c r="L78" s="24">
        <v>800000</v>
      </c>
      <c r="M78" s="23">
        <v>1</v>
      </c>
      <c r="N78" s="24">
        <f t="shared" si="9"/>
        <v>800000</v>
      </c>
      <c r="O78" s="24">
        <v>70000</v>
      </c>
      <c r="P78" s="23">
        <v>1</v>
      </c>
      <c r="Q78" s="24">
        <f t="shared" si="10"/>
        <v>70000</v>
      </c>
      <c r="R78" s="24">
        <f t="shared" si="11"/>
        <v>1443674.5</v>
      </c>
    </row>
    <row r="79" spans="1:19" s="50" customFormat="1" ht="45" x14ac:dyDescent="0.25">
      <c r="A79" s="16" t="s">
        <v>169</v>
      </c>
      <c r="B79" s="34" t="s">
        <v>274</v>
      </c>
      <c r="C79" s="27" t="s">
        <v>278</v>
      </c>
      <c r="D79" s="27" t="s">
        <v>279</v>
      </c>
      <c r="E79" s="27" t="s">
        <v>280</v>
      </c>
      <c r="F79" s="20" t="s">
        <v>43</v>
      </c>
      <c r="G79" s="30">
        <v>163907</v>
      </c>
      <c r="H79" s="16">
        <v>4.5</v>
      </c>
      <c r="I79" s="22">
        <f t="shared" si="7"/>
        <v>737581.5</v>
      </c>
      <c r="J79" s="23">
        <v>1</v>
      </c>
      <c r="K79" s="24">
        <f t="shared" si="8"/>
        <v>737581.5</v>
      </c>
      <c r="L79" s="24">
        <v>800000</v>
      </c>
      <c r="M79" s="23">
        <v>1</v>
      </c>
      <c r="N79" s="24">
        <f t="shared" si="9"/>
        <v>800000</v>
      </c>
      <c r="O79" s="24">
        <v>70000</v>
      </c>
      <c r="P79" s="23">
        <v>1</v>
      </c>
      <c r="Q79" s="24">
        <f t="shared" si="10"/>
        <v>70000</v>
      </c>
      <c r="R79" s="24">
        <f t="shared" si="11"/>
        <v>1607581.5</v>
      </c>
      <c r="S79" s="49"/>
    </row>
    <row r="80" spans="1:19" s="50" customFormat="1" ht="45" x14ac:dyDescent="0.25">
      <c r="A80" s="16" t="s">
        <v>169</v>
      </c>
      <c r="B80" s="34" t="s">
        <v>274</v>
      </c>
      <c r="C80" s="27" t="s">
        <v>278</v>
      </c>
      <c r="D80" s="27" t="s">
        <v>279</v>
      </c>
      <c r="E80" s="27" t="s">
        <v>280</v>
      </c>
      <c r="F80" s="20" t="s">
        <v>43</v>
      </c>
      <c r="G80" s="30">
        <v>163907</v>
      </c>
      <c r="H80" s="16">
        <v>3.5</v>
      </c>
      <c r="I80" s="22">
        <f>+G80*H80</f>
        <v>573674.5</v>
      </c>
      <c r="J80" s="23">
        <v>1</v>
      </c>
      <c r="K80" s="24">
        <f t="shared" si="8"/>
        <v>573674.5</v>
      </c>
      <c r="L80" s="24">
        <v>800000</v>
      </c>
      <c r="M80" s="23">
        <v>1</v>
      </c>
      <c r="N80" s="24">
        <f t="shared" si="9"/>
        <v>800000</v>
      </c>
      <c r="O80" s="24">
        <v>70000</v>
      </c>
      <c r="P80" s="23">
        <v>1</v>
      </c>
      <c r="Q80" s="24">
        <f t="shared" si="10"/>
        <v>70000</v>
      </c>
      <c r="R80" s="24">
        <f t="shared" si="11"/>
        <v>1443674.5</v>
      </c>
      <c r="S80" s="49"/>
    </row>
    <row r="81" spans="1:19" ht="45" x14ac:dyDescent="0.25">
      <c r="A81" s="16" t="s">
        <v>169</v>
      </c>
      <c r="B81" s="34" t="s">
        <v>274</v>
      </c>
      <c r="C81" s="27" t="s">
        <v>278</v>
      </c>
      <c r="D81" s="27" t="s">
        <v>281</v>
      </c>
      <c r="E81" s="27" t="s">
        <v>267</v>
      </c>
      <c r="F81" s="20" t="s">
        <v>43</v>
      </c>
      <c r="G81" s="30">
        <v>163907</v>
      </c>
      <c r="H81" s="16">
        <v>4.5</v>
      </c>
      <c r="I81" s="22">
        <f t="shared" si="7"/>
        <v>737581.5</v>
      </c>
      <c r="J81" s="23">
        <v>1</v>
      </c>
      <c r="K81" s="24">
        <f t="shared" si="8"/>
        <v>737581.5</v>
      </c>
      <c r="L81" s="24">
        <v>800000</v>
      </c>
      <c r="M81" s="23">
        <v>1</v>
      </c>
      <c r="N81" s="24">
        <f t="shared" si="9"/>
        <v>800000</v>
      </c>
      <c r="O81" s="24">
        <v>70000</v>
      </c>
      <c r="P81" s="23">
        <v>1</v>
      </c>
      <c r="Q81" s="24">
        <f t="shared" si="10"/>
        <v>70000</v>
      </c>
      <c r="R81" s="24">
        <f t="shared" si="11"/>
        <v>1607581.5</v>
      </c>
    </row>
    <row r="82" spans="1:19" ht="45" x14ac:dyDescent="0.25">
      <c r="A82" s="16" t="s">
        <v>169</v>
      </c>
      <c r="B82" s="34" t="s">
        <v>274</v>
      </c>
      <c r="C82" s="27" t="s">
        <v>278</v>
      </c>
      <c r="D82" s="27" t="s">
        <v>281</v>
      </c>
      <c r="E82" s="27" t="s">
        <v>267</v>
      </c>
      <c r="F82" s="20" t="s">
        <v>43</v>
      </c>
      <c r="G82" s="30">
        <v>163907</v>
      </c>
      <c r="H82" s="16">
        <v>3.5</v>
      </c>
      <c r="I82" s="22">
        <f>+G82*H82</f>
        <v>573674.5</v>
      </c>
      <c r="J82" s="23">
        <v>1</v>
      </c>
      <c r="K82" s="24">
        <f t="shared" si="8"/>
        <v>573674.5</v>
      </c>
      <c r="L82" s="24">
        <v>800000</v>
      </c>
      <c r="M82" s="23">
        <v>1</v>
      </c>
      <c r="N82" s="24">
        <f t="shared" si="9"/>
        <v>800000</v>
      </c>
      <c r="O82" s="24">
        <v>70000</v>
      </c>
      <c r="P82" s="23">
        <v>1</v>
      </c>
      <c r="Q82" s="24">
        <f t="shared" si="10"/>
        <v>70000</v>
      </c>
      <c r="R82" s="24">
        <f t="shared" si="11"/>
        <v>1443674.5</v>
      </c>
    </row>
    <row r="83" spans="1:19" x14ac:dyDescent="0.25">
      <c r="A83" s="51"/>
      <c r="B83" s="34" t="s">
        <v>274</v>
      </c>
      <c r="C83" s="52"/>
      <c r="D83" s="52"/>
      <c r="E83" s="52"/>
      <c r="F83" s="53"/>
      <c r="G83" s="29"/>
      <c r="H83" s="51"/>
      <c r="I83" s="54"/>
      <c r="J83" s="55"/>
      <c r="K83" s="56">
        <f>SUM(K71:K82)</f>
        <v>9372080</v>
      </c>
      <c r="L83" s="56"/>
      <c r="M83" s="55"/>
      <c r="N83" s="56">
        <f>SUM(N71:N82)</f>
        <v>9600000</v>
      </c>
      <c r="O83" s="56"/>
      <c r="P83" s="55"/>
      <c r="Q83" s="56">
        <f>SUM(Q71:Q82)</f>
        <v>840000</v>
      </c>
      <c r="R83" s="56">
        <f>SUM(R71:R82)</f>
        <v>19812080</v>
      </c>
    </row>
    <row r="84" spans="1:19" ht="45" x14ac:dyDescent="0.25">
      <c r="A84" s="16" t="s">
        <v>169</v>
      </c>
      <c r="B84" s="57" t="s">
        <v>282</v>
      </c>
      <c r="C84" s="27" t="s">
        <v>278</v>
      </c>
      <c r="D84" s="27" t="s">
        <v>181</v>
      </c>
      <c r="E84" s="27" t="s">
        <v>181</v>
      </c>
      <c r="F84" s="20" t="s">
        <v>29</v>
      </c>
      <c r="G84" s="30">
        <v>247196</v>
      </c>
      <c r="H84" s="16">
        <v>3.5</v>
      </c>
      <c r="I84" s="22">
        <f t="shared" si="7"/>
        <v>865186</v>
      </c>
      <c r="J84" s="23">
        <v>1</v>
      </c>
      <c r="K84" s="24">
        <f t="shared" ref="K84:K96" si="12">+I84*J84</f>
        <v>865186</v>
      </c>
      <c r="L84" s="24">
        <v>800000</v>
      </c>
      <c r="M84" s="23">
        <v>1</v>
      </c>
      <c r="N84" s="24">
        <f t="shared" ref="N84:N96" si="13">+L84*M84</f>
        <v>800000</v>
      </c>
      <c r="O84" s="24">
        <v>70000</v>
      </c>
      <c r="P84" s="23">
        <v>1</v>
      </c>
      <c r="Q84" s="24">
        <f t="shared" ref="Q84:Q96" si="14">+O84*P84</f>
        <v>70000</v>
      </c>
      <c r="R84" s="24">
        <f t="shared" ref="R84:R91" si="15">+K84+N84+O84</f>
        <v>1735186</v>
      </c>
      <c r="S84" s="1" t="s">
        <v>288</v>
      </c>
    </row>
    <row r="85" spans="1:19" ht="45" x14ac:dyDescent="0.25">
      <c r="A85" s="16" t="s">
        <v>169</v>
      </c>
      <c r="B85" s="57" t="s">
        <v>282</v>
      </c>
      <c r="C85" s="27" t="s">
        <v>278</v>
      </c>
      <c r="D85" s="27" t="s">
        <v>181</v>
      </c>
      <c r="E85" s="27" t="s">
        <v>181</v>
      </c>
      <c r="F85" s="20" t="s">
        <v>54</v>
      </c>
      <c r="G85" s="30">
        <v>247196</v>
      </c>
      <c r="H85" s="16">
        <v>3.5</v>
      </c>
      <c r="I85" s="22">
        <f>+G85*H85</f>
        <v>865186</v>
      </c>
      <c r="J85" s="23">
        <v>1</v>
      </c>
      <c r="K85" s="24">
        <f t="shared" si="12"/>
        <v>865186</v>
      </c>
      <c r="L85" s="24">
        <v>800000</v>
      </c>
      <c r="M85" s="23">
        <v>1</v>
      </c>
      <c r="N85" s="24">
        <f t="shared" si="13"/>
        <v>800000</v>
      </c>
      <c r="O85" s="24">
        <v>70000</v>
      </c>
      <c r="P85" s="23">
        <v>1</v>
      </c>
      <c r="Q85" s="24">
        <f t="shared" si="14"/>
        <v>70000</v>
      </c>
      <c r="R85" s="24">
        <f>+K85+N85+O85</f>
        <v>1735186</v>
      </c>
      <c r="S85" s="1" t="s">
        <v>288</v>
      </c>
    </row>
    <row r="86" spans="1:19" ht="45" x14ac:dyDescent="0.25">
      <c r="A86" s="16" t="s">
        <v>169</v>
      </c>
      <c r="B86" s="57" t="s">
        <v>282</v>
      </c>
      <c r="C86" s="27"/>
      <c r="D86" s="27" t="s">
        <v>283</v>
      </c>
      <c r="E86" s="27" t="s">
        <v>284</v>
      </c>
      <c r="F86" s="20" t="s">
        <v>29</v>
      </c>
      <c r="G86" s="30">
        <v>247196</v>
      </c>
      <c r="H86" s="16">
        <v>3.5</v>
      </c>
      <c r="I86" s="22">
        <f>+G86*H86</f>
        <v>865186</v>
      </c>
      <c r="J86" s="23">
        <v>1</v>
      </c>
      <c r="K86" s="24">
        <f t="shared" si="12"/>
        <v>865186</v>
      </c>
      <c r="L86" s="24">
        <v>800000</v>
      </c>
      <c r="M86" s="23">
        <v>1</v>
      </c>
      <c r="N86" s="24">
        <f t="shared" si="13"/>
        <v>800000</v>
      </c>
      <c r="O86" s="24">
        <v>70000</v>
      </c>
      <c r="P86" s="23">
        <v>1</v>
      </c>
      <c r="Q86" s="24">
        <f t="shared" si="14"/>
        <v>70000</v>
      </c>
      <c r="R86" s="24">
        <f>+K86+N86+O86</f>
        <v>1735186</v>
      </c>
      <c r="S86" s="1" t="s">
        <v>288</v>
      </c>
    </row>
    <row r="87" spans="1:19" ht="45" x14ac:dyDescent="0.25">
      <c r="A87" s="16" t="s">
        <v>169</v>
      </c>
      <c r="B87" s="57" t="s">
        <v>282</v>
      </c>
      <c r="C87" s="27"/>
      <c r="D87" s="27" t="s">
        <v>283</v>
      </c>
      <c r="E87" s="27" t="s">
        <v>284</v>
      </c>
      <c r="F87" s="20" t="s">
        <v>54</v>
      </c>
      <c r="G87" s="30">
        <v>247196</v>
      </c>
      <c r="H87" s="16">
        <v>3.5</v>
      </c>
      <c r="I87" s="22">
        <f>+G87*H87</f>
        <v>865186</v>
      </c>
      <c r="J87" s="23">
        <v>1</v>
      </c>
      <c r="K87" s="24">
        <f t="shared" si="12"/>
        <v>865186</v>
      </c>
      <c r="L87" s="24">
        <v>800000</v>
      </c>
      <c r="M87" s="23">
        <v>1</v>
      </c>
      <c r="N87" s="24">
        <f t="shared" si="13"/>
        <v>800000</v>
      </c>
      <c r="O87" s="24">
        <v>70000</v>
      </c>
      <c r="P87" s="23">
        <v>1</v>
      </c>
      <c r="Q87" s="24">
        <f t="shared" si="14"/>
        <v>70000</v>
      </c>
      <c r="R87" s="24">
        <f>+K87+N87+O87</f>
        <v>1735186</v>
      </c>
      <c r="S87" s="1" t="s">
        <v>288</v>
      </c>
    </row>
    <row r="88" spans="1:19" ht="45" x14ac:dyDescent="0.25">
      <c r="A88" s="16" t="s">
        <v>169</v>
      </c>
      <c r="B88" s="57" t="s">
        <v>282</v>
      </c>
      <c r="C88" s="17" t="s">
        <v>171</v>
      </c>
      <c r="D88" s="17" t="s">
        <v>279</v>
      </c>
      <c r="E88" s="16" t="s">
        <v>280</v>
      </c>
      <c r="F88" s="20" t="s">
        <v>29</v>
      </c>
      <c r="G88" s="30">
        <v>247196</v>
      </c>
      <c r="H88" s="16">
        <v>3.5</v>
      </c>
      <c r="I88" s="22">
        <f t="shared" si="7"/>
        <v>865186</v>
      </c>
      <c r="J88" s="23">
        <v>1</v>
      </c>
      <c r="K88" s="24">
        <f t="shared" si="12"/>
        <v>865186</v>
      </c>
      <c r="L88" s="24">
        <v>800000</v>
      </c>
      <c r="M88" s="23">
        <v>1</v>
      </c>
      <c r="N88" s="24">
        <f t="shared" si="13"/>
        <v>800000</v>
      </c>
      <c r="O88" s="24">
        <v>70000</v>
      </c>
      <c r="P88" s="23">
        <v>1</v>
      </c>
      <c r="Q88" s="24">
        <f t="shared" si="14"/>
        <v>70000</v>
      </c>
      <c r="R88" s="24">
        <f t="shared" si="15"/>
        <v>1735186</v>
      </c>
      <c r="S88" s="1" t="s">
        <v>288</v>
      </c>
    </row>
    <row r="89" spans="1:19" ht="45" x14ac:dyDescent="0.25">
      <c r="A89" s="16" t="s">
        <v>169</v>
      </c>
      <c r="B89" s="57" t="s">
        <v>282</v>
      </c>
      <c r="C89" s="17" t="s">
        <v>171</v>
      </c>
      <c r="D89" s="17" t="s">
        <v>279</v>
      </c>
      <c r="E89" s="16" t="s">
        <v>280</v>
      </c>
      <c r="F89" s="20" t="s">
        <v>43</v>
      </c>
      <c r="G89" s="30">
        <v>163907</v>
      </c>
      <c r="H89" s="16">
        <v>3.5</v>
      </c>
      <c r="I89" s="22">
        <f>+G89*H89</f>
        <v>573674.5</v>
      </c>
      <c r="J89" s="23">
        <v>1</v>
      </c>
      <c r="K89" s="24">
        <f t="shared" si="12"/>
        <v>573674.5</v>
      </c>
      <c r="L89" s="24">
        <v>800000</v>
      </c>
      <c r="M89" s="23">
        <v>1</v>
      </c>
      <c r="N89" s="24">
        <f t="shared" si="13"/>
        <v>800000</v>
      </c>
      <c r="O89" s="24">
        <v>70000</v>
      </c>
      <c r="P89" s="23">
        <v>1</v>
      </c>
      <c r="Q89" s="24">
        <f t="shared" si="14"/>
        <v>70000</v>
      </c>
      <c r="R89" s="24">
        <f>+K89+N89+O89</f>
        <v>1443674.5</v>
      </c>
      <c r="S89" s="1" t="s">
        <v>288</v>
      </c>
    </row>
    <row r="90" spans="1:19" ht="45" x14ac:dyDescent="0.25">
      <c r="A90" s="16" t="s">
        <v>169</v>
      </c>
      <c r="B90" s="57" t="s">
        <v>282</v>
      </c>
      <c r="C90" s="17" t="s">
        <v>205</v>
      </c>
      <c r="D90" s="17" t="s">
        <v>271</v>
      </c>
      <c r="E90" s="16" t="s">
        <v>273</v>
      </c>
      <c r="F90" s="20" t="s">
        <v>29</v>
      </c>
      <c r="G90" s="30">
        <v>247196</v>
      </c>
      <c r="H90" s="16">
        <v>3.5</v>
      </c>
      <c r="I90" s="22">
        <f t="shared" si="7"/>
        <v>865186</v>
      </c>
      <c r="J90" s="23">
        <v>1</v>
      </c>
      <c r="K90" s="24">
        <f t="shared" si="12"/>
        <v>865186</v>
      </c>
      <c r="L90" s="24">
        <v>800000</v>
      </c>
      <c r="M90" s="23">
        <v>1</v>
      </c>
      <c r="N90" s="24">
        <f t="shared" si="13"/>
        <v>800000</v>
      </c>
      <c r="O90" s="24">
        <v>70000</v>
      </c>
      <c r="P90" s="23">
        <v>1</v>
      </c>
      <c r="Q90" s="24">
        <f t="shared" si="14"/>
        <v>70000</v>
      </c>
      <c r="R90" s="24">
        <f t="shared" si="15"/>
        <v>1735186</v>
      </c>
      <c r="S90" s="1" t="s">
        <v>288</v>
      </c>
    </row>
    <row r="91" spans="1:19" ht="45" x14ac:dyDescent="0.25">
      <c r="A91" s="16" t="s">
        <v>169</v>
      </c>
      <c r="B91" s="57" t="s">
        <v>282</v>
      </c>
      <c r="C91" s="17" t="s">
        <v>205</v>
      </c>
      <c r="D91" s="17" t="s">
        <v>271</v>
      </c>
      <c r="E91" s="16" t="s">
        <v>273</v>
      </c>
      <c r="F91" s="20" t="s">
        <v>43</v>
      </c>
      <c r="G91" s="30">
        <v>163907</v>
      </c>
      <c r="H91" s="16">
        <v>3.5</v>
      </c>
      <c r="I91" s="22">
        <f t="shared" si="7"/>
        <v>573674.5</v>
      </c>
      <c r="J91" s="23">
        <v>1</v>
      </c>
      <c r="K91" s="24">
        <f t="shared" si="12"/>
        <v>573674.5</v>
      </c>
      <c r="L91" s="24">
        <v>800000</v>
      </c>
      <c r="M91" s="23">
        <v>1</v>
      </c>
      <c r="N91" s="24">
        <f t="shared" si="13"/>
        <v>800000</v>
      </c>
      <c r="O91" s="24">
        <v>70000</v>
      </c>
      <c r="P91" s="23">
        <v>1</v>
      </c>
      <c r="Q91" s="24">
        <f t="shared" si="14"/>
        <v>70000</v>
      </c>
      <c r="R91" s="24">
        <f t="shared" si="15"/>
        <v>1443674.5</v>
      </c>
      <c r="S91" s="1" t="s">
        <v>288</v>
      </c>
    </row>
    <row r="92" spans="1:19" ht="45" x14ac:dyDescent="0.25">
      <c r="A92" s="16" t="s">
        <v>169</v>
      </c>
      <c r="B92" s="57" t="s">
        <v>282</v>
      </c>
      <c r="C92" s="17"/>
      <c r="D92" s="17" t="s">
        <v>172</v>
      </c>
      <c r="E92" s="16" t="s">
        <v>275</v>
      </c>
      <c r="F92" s="20" t="s">
        <v>56</v>
      </c>
      <c r="G92" s="30">
        <v>219010</v>
      </c>
      <c r="H92" s="16">
        <v>3.5</v>
      </c>
      <c r="I92" s="22">
        <f>+G92*H92</f>
        <v>766535</v>
      </c>
      <c r="J92" s="23">
        <v>1</v>
      </c>
      <c r="K92" s="24">
        <f t="shared" si="12"/>
        <v>766535</v>
      </c>
      <c r="L92" s="24">
        <v>800000</v>
      </c>
      <c r="M92" s="23">
        <v>1</v>
      </c>
      <c r="N92" s="24">
        <f t="shared" si="13"/>
        <v>800000</v>
      </c>
      <c r="O92" s="24">
        <v>70000</v>
      </c>
      <c r="P92" s="23">
        <v>1</v>
      </c>
      <c r="Q92" s="24">
        <f t="shared" si="14"/>
        <v>70000</v>
      </c>
      <c r="R92" s="24">
        <f>+K92+N92+O92</f>
        <v>1636535</v>
      </c>
      <c r="S92" s="1" t="s">
        <v>289</v>
      </c>
    </row>
    <row r="93" spans="1:19" ht="30" x14ac:dyDescent="0.25">
      <c r="A93" s="16" t="s">
        <v>169</v>
      </c>
      <c r="B93" s="57" t="s">
        <v>282</v>
      </c>
      <c r="C93" s="17"/>
      <c r="D93" s="17" t="s">
        <v>285</v>
      </c>
      <c r="E93" s="16" t="s">
        <v>195</v>
      </c>
      <c r="F93" s="20" t="s">
        <v>51</v>
      </c>
      <c r="G93" s="30">
        <v>247196</v>
      </c>
      <c r="H93" s="16">
        <v>3.5</v>
      </c>
      <c r="I93" s="22">
        <f>+G93*H93</f>
        <v>865186</v>
      </c>
      <c r="J93" s="23">
        <v>1</v>
      </c>
      <c r="K93" s="24">
        <f t="shared" si="12"/>
        <v>865186</v>
      </c>
      <c r="L93" s="24">
        <v>800000</v>
      </c>
      <c r="M93" s="23">
        <v>1</v>
      </c>
      <c r="N93" s="24">
        <f t="shared" si="13"/>
        <v>800000</v>
      </c>
      <c r="O93" s="24">
        <v>70000</v>
      </c>
      <c r="P93" s="23">
        <v>1</v>
      </c>
      <c r="Q93" s="24">
        <f t="shared" si="14"/>
        <v>70000</v>
      </c>
      <c r="R93" s="24">
        <f>+K93+N93+O93</f>
        <v>1735186</v>
      </c>
      <c r="S93" s="1" t="s">
        <v>289</v>
      </c>
    </row>
    <row r="94" spans="1:19" ht="30" x14ac:dyDescent="0.25">
      <c r="A94" s="16" t="s">
        <v>169</v>
      </c>
      <c r="B94" s="57" t="s">
        <v>282</v>
      </c>
      <c r="C94" s="17"/>
      <c r="D94" s="17" t="s">
        <v>202</v>
      </c>
      <c r="E94" s="16" t="s">
        <v>204</v>
      </c>
      <c r="F94" s="20" t="s">
        <v>51</v>
      </c>
      <c r="G94" s="30">
        <v>247196</v>
      </c>
      <c r="H94" s="16">
        <v>3.5</v>
      </c>
      <c r="I94" s="22">
        <f>+G94*H94</f>
        <v>865186</v>
      </c>
      <c r="J94" s="23">
        <v>1</v>
      </c>
      <c r="K94" s="24">
        <f t="shared" si="12"/>
        <v>865186</v>
      </c>
      <c r="L94" s="24">
        <v>800000</v>
      </c>
      <c r="M94" s="23">
        <v>1</v>
      </c>
      <c r="N94" s="24">
        <f t="shared" si="13"/>
        <v>800000</v>
      </c>
      <c r="O94" s="24">
        <v>70000</v>
      </c>
      <c r="P94" s="23">
        <v>1</v>
      </c>
      <c r="Q94" s="24">
        <f t="shared" si="14"/>
        <v>70000</v>
      </c>
      <c r="R94" s="24">
        <f>+K94+N94+O94</f>
        <v>1735186</v>
      </c>
      <c r="S94" s="1" t="s">
        <v>289</v>
      </c>
    </row>
    <row r="95" spans="1:19" ht="45" x14ac:dyDescent="0.25">
      <c r="A95" s="16" t="s">
        <v>169</v>
      </c>
      <c r="B95" s="57" t="s">
        <v>282</v>
      </c>
      <c r="C95" s="17"/>
      <c r="D95" s="17" t="s">
        <v>223</v>
      </c>
      <c r="E95" s="16" t="s">
        <v>276</v>
      </c>
      <c r="F95" s="20" t="s">
        <v>45</v>
      </c>
      <c r="G95" s="30">
        <v>163907</v>
      </c>
      <c r="H95" s="16">
        <v>3.5</v>
      </c>
      <c r="I95" s="22">
        <f>+G95*H95</f>
        <v>573674.5</v>
      </c>
      <c r="J95" s="23">
        <v>1</v>
      </c>
      <c r="K95" s="24">
        <f t="shared" si="12"/>
        <v>573674.5</v>
      </c>
      <c r="L95" s="24">
        <v>800000</v>
      </c>
      <c r="M95" s="23">
        <v>1</v>
      </c>
      <c r="N95" s="24">
        <f t="shared" si="13"/>
        <v>800000</v>
      </c>
      <c r="O95" s="24">
        <v>70000</v>
      </c>
      <c r="P95" s="23">
        <v>1</v>
      </c>
      <c r="Q95" s="24">
        <f t="shared" si="14"/>
        <v>70000</v>
      </c>
      <c r="R95" s="24">
        <f>+K95+N95+O95</f>
        <v>1443674.5</v>
      </c>
      <c r="S95" s="1" t="s">
        <v>289</v>
      </c>
    </row>
    <row r="96" spans="1:19" ht="45" x14ac:dyDescent="0.25">
      <c r="A96" s="16" t="s">
        <v>169</v>
      </c>
      <c r="B96" s="57" t="s">
        <v>282</v>
      </c>
      <c r="C96" s="17"/>
      <c r="D96" s="17" t="s">
        <v>279</v>
      </c>
      <c r="E96" s="16" t="s">
        <v>280</v>
      </c>
      <c r="F96" s="20" t="s">
        <v>45</v>
      </c>
      <c r="G96" s="30">
        <v>163907</v>
      </c>
      <c r="H96" s="16">
        <v>3.5</v>
      </c>
      <c r="I96" s="22">
        <f>+G96*H96</f>
        <v>573674.5</v>
      </c>
      <c r="J96" s="23">
        <v>1</v>
      </c>
      <c r="K96" s="24">
        <f t="shared" si="12"/>
        <v>573674.5</v>
      </c>
      <c r="L96" s="24">
        <v>800000</v>
      </c>
      <c r="M96" s="23">
        <v>1</v>
      </c>
      <c r="N96" s="24">
        <f t="shared" si="13"/>
        <v>800000</v>
      </c>
      <c r="O96" s="24">
        <v>70000</v>
      </c>
      <c r="P96" s="23">
        <v>1</v>
      </c>
      <c r="Q96" s="24">
        <f t="shared" si="14"/>
        <v>70000</v>
      </c>
      <c r="R96" s="24">
        <f>+K96+N96+O96</f>
        <v>1443674.5</v>
      </c>
      <c r="S96" s="1" t="s">
        <v>289</v>
      </c>
    </row>
    <row r="97" spans="1:19" s="65" customFormat="1" ht="30" x14ac:dyDescent="0.25">
      <c r="A97" s="58"/>
      <c r="B97" s="57" t="s">
        <v>282</v>
      </c>
      <c r="C97" s="59"/>
      <c r="D97" s="59"/>
      <c r="E97" s="58"/>
      <c r="F97" s="60"/>
      <c r="G97" s="16"/>
      <c r="H97" s="58"/>
      <c r="I97" s="61"/>
      <c r="J97" s="62"/>
      <c r="K97" s="63">
        <f>SUM(K84:K96)</f>
        <v>9982721</v>
      </c>
      <c r="L97" s="63"/>
      <c r="M97" s="62"/>
      <c r="N97" s="63">
        <f>SUM(N84:N96)</f>
        <v>10400000</v>
      </c>
      <c r="O97" s="63"/>
      <c r="P97" s="62"/>
      <c r="Q97" s="63">
        <f>SUM(Q84:Q96)</f>
        <v>910000</v>
      </c>
      <c r="R97" s="63">
        <f>SUM(R84:R96)</f>
        <v>21292721</v>
      </c>
      <c r="S97" s="64" t="s">
        <v>286</v>
      </c>
    </row>
    <row r="98" spans="1:19" x14ac:dyDescent="0.25">
      <c r="A98" s="16"/>
      <c r="B98" s="66"/>
      <c r="C98" s="42"/>
      <c r="D98" s="34"/>
      <c r="E98" s="34"/>
      <c r="F98" s="20"/>
      <c r="G98" s="29"/>
      <c r="H98" s="42"/>
      <c r="I98" s="44"/>
      <c r="J98" s="45"/>
      <c r="K98" s="46"/>
      <c r="L98" s="46"/>
      <c r="M98" s="23"/>
      <c r="N98" s="24"/>
      <c r="O98" s="24"/>
      <c r="P98" s="23"/>
      <c r="Q98" s="24"/>
      <c r="R98" s="24"/>
      <c r="S98" s="67"/>
    </row>
    <row r="99" spans="1:19" x14ac:dyDescent="0.25">
      <c r="A99" s="68"/>
      <c r="B99" s="68"/>
      <c r="C99" s="69"/>
      <c r="D99" s="69"/>
      <c r="E99" s="69"/>
      <c r="F99" s="69"/>
      <c r="G99" s="70"/>
      <c r="H99" s="69"/>
      <c r="I99" s="70"/>
      <c r="J99" s="70"/>
      <c r="K99" s="70">
        <f>+K70+K83+K97</f>
        <v>66699390.5</v>
      </c>
      <c r="L99" s="70"/>
      <c r="M99" s="70"/>
      <c r="N99" s="70">
        <f>+N70+N83+N97</f>
        <v>68000000</v>
      </c>
      <c r="O99" s="70"/>
      <c r="P99" s="70"/>
      <c r="Q99" s="70">
        <f>+Q70+Q83+Q97</f>
        <v>6230000</v>
      </c>
      <c r="R99" s="70">
        <f>+R70+R83+R97</f>
        <v>140929390.5</v>
      </c>
    </row>
    <row r="100" spans="1:19" ht="30" x14ac:dyDescent="0.25">
      <c r="A100" s="16" t="s">
        <v>169</v>
      </c>
      <c r="B100" s="57" t="s">
        <v>292</v>
      </c>
      <c r="C100" s="17"/>
      <c r="D100" s="17"/>
      <c r="E100" s="16"/>
      <c r="F100" s="20"/>
      <c r="G100" s="30">
        <v>247196</v>
      </c>
      <c r="H100" s="16">
        <v>2.5</v>
      </c>
      <c r="I100" s="22">
        <f>+G100*H100</f>
        <v>617990</v>
      </c>
      <c r="J100" s="23">
        <v>3</v>
      </c>
      <c r="K100" s="24">
        <f>+I100*J100</f>
        <v>1853970</v>
      </c>
      <c r="L100" s="24">
        <v>800000</v>
      </c>
      <c r="M100" s="23">
        <v>1</v>
      </c>
      <c r="N100" s="24">
        <f>+L100*M100</f>
        <v>800000</v>
      </c>
      <c r="O100" s="24">
        <v>70000</v>
      </c>
      <c r="P100" s="23">
        <v>1</v>
      </c>
      <c r="Q100" s="24">
        <f>+O100*P100</f>
        <v>70000</v>
      </c>
      <c r="R100" s="24">
        <f>+K100+N100+O100</f>
        <v>2723970</v>
      </c>
      <c r="S100" s="1" t="s">
        <v>289</v>
      </c>
    </row>
    <row r="101" spans="1:19" ht="30" x14ac:dyDescent="0.25">
      <c r="A101" s="16" t="s">
        <v>169</v>
      </c>
      <c r="B101" s="72" t="s">
        <v>60</v>
      </c>
      <c r="G101" s="30">
        <v>163907</v>
      </c>
      <c r="H101" s="31">
        <v>3.5</v>
      </c>
      <c r="I101" s="22">
        <f>+G101*H101</f>
        <v>573674.5</v>
      </c>
      <c r="J101" s="23">
        <v>6</v>
      </c>
      <c r="K101" s="24">
        <f>+I101*J101</f>
        <v>3442047</v>
      </c>
      <c r="L101" s="24">
        <v>800001</v>
      </c>
      <c r="M101" s="23">
        <v>6</v>
      </c>
      <c r="N101" s="24">
        <f>+L101*M101</f>
        <v>4800006</v>
      </c>
      <c r="O101" s="24">
        <v>70000</v>
      </c>
      <c r="P101" s="23">
        <v>6</v>
      </c>
      <c r="Q101" s="24">
        <f>+O101*P101</f>
        <v>420000</v>
      </c>
      <c r="R101" s="24">
        <f>+K101+N101+O101</f>
        <v>8312053</v>
      </c>
    </row>
    <row r="106" spans="1:19" x14ac:dyDescent="0.25">
      <c r="B106" t="s">
        <v>340</v>
      </c>
      <c r="K106" s="71">
        <f>SUM(K96,K95,K94,K93,K92)</f>
        <v>3644256</v>
      </c>
      <c r="L106" s="71">
        <f t="shared" ref="L106:Q106" si="16">SUM(L96,L95,L94,L93,L92)</f>
        <v>4000000</v>
      </c>
      <c r="M106" s="71">
        <f t="shared" si="16"/>
        <v>5</v>
      </c>
      <c r="N106" s="71">
        <f t="shared" si="16"/>
        <v>4000000</v>
      </c>
      <c r="O106" s="71">
        <f t="shared" si="16"/>
        <v>350000</v>
      </c>
      <c r="P106" s="71">
        <f t="shared" si="16"/>
        <v>5</v>
      </c>
      <c r="Q106" s="71">
        <f t="shared" si="16"/>
        <v>350000</v>
      </c>
    </row>
  </sheetData>
  <autoFilter ref="A5:S97"/>
  <mergeCells count="6">
    <mergeCell ref="A1:B3"/>
    <mergeCell ref="C1:I2"/>
    <mergeCell ref="L1:R1"/>
    <mergeCell ref="L2:R2"/>
    <mergeCell ref="C3:I3"/>
    <mergeCell ref="L3:R3"/>
  </mergeCells>
  <dataValidations count="4">
    <dataValidation type="list" allowBlank="1" showInputMessage="1" showErrorMessage="1" sqref="WVJ983046:WVJ983139 IX6:IX100 ST6:ST100 ACP6:ACP100 AML6:AML100 AWH6:AWH100 BGD6:BGD100 BPZ6:BPZ100 BZV6:BZV100 CJR6:CJR100 CTN6:CTN100 DDJ6:DDJ100 DNF6:DNF100 DXB6:DXB100 EGX6:EGX100 EQT6:EQT100 FAP6:FAP100 FKL6:FKL100 FUH6:FUH100 GED6:GED100 GNZ6:GNZ100 GXV6:GXV100 HHR6:HHR100 HRN6:HRN100 IBJ6:IBJ100 ILF6:ILF100 IVB6:IVB100 JEX6:JEX100 JOT6:JOT100 JYP6:JYP100 KIL6:KIL100 KSH6:KSH100 LCD6:LCD100 LLZ6:LLZ100 LVV6:LVV100 MFR6:MFR100 MPN6:MPN100 MZJ6:MZJ100 NJF6:NJF100 NTB6:NTB100 OCX6:OCX100 OMT6:OMT100 OWP6:OWP100 PGL6:PGL100 PQH6:PQH100 QAD6:QAD100 QJZ6:QJZ100 QTV6:QTV100 RDR6:RDR100 RNN6:RNN100 RXJ6:RXJ100 SHF6:SHF100 SRB6:SRB100 TAX6:TAX100 TKT6:TKT100 TUP6:TUP100 UEL6:UEL100 UOH6:UOH100 UYD6:UYD100 VHZ6:VHZ100 VRV6:VRV100 WBR6:WBR100 WLN6:WLN100 WVJ6:WVJ100 B65542:B65635 IX65542:IX65635 ST65542:ST65635 ACP65542:ACP65635 AML65542:AML65635 AWH65542:AWH65635 BGD65542:BGD65635 BPZ65542:BPZ65635 BZV65542:BZV65635 CJR65542:CJR65635 CTN65542:CTN65635 DDJ65542:DDJ65635 DNF65542:DNF65635 DXB65542:DXB65635 EGX65542:EGX65635 EQT65542:EQT65635 FAP65542:FAP65635 FKL65542:FKL65635 FUH65542:FUH65635 GED65542:GED65635 GNZ65542:GNZ65635 GXV65542:GXV65635 HHR65542:HHR65635 HRN65542:HRN65635 IBJ65542:IBJ65635 ILF65542:ILF65635 IVB65542:IVB65635 JEX65542:JEX65635 JOT65542:JOT65635 JYP65542:JYP65635 KIL65542:KIL65635 KSH65542:KSH65635 LCD65542:LCD65635 LLZ65542:LLZ65635 LVV65542:LVV65635 MFR65542:MFR65635 MPN65542:MPN65635 MZJ65542:MZJ65635 NJF65542:NJF65635 NTB65542:NTB65635 OCX65542:OCX65635 OMT65542:OMT65635 OWP65542:OWP65635 PGL65542:PGL65635 PQH65542:PQH65635 QAD65542:QAD65635 QJZ65542:QJZ65635 QTV65542:QTV65635 RDR65542:RDR65635 RNN65542:RNN65635 RXJ65542:RXJ65635 SHF65542:SHF65635 SRB65542:SRB65635 TAX65542:TAX65635 TKT65542:TKT65635 TUP65542:TUP65635 UEL65542:UEL65635 UOH65542:UOH65635 UYD65542:UYD65635 VHZ65542:VHZ65635 VRV65542:VRV65635 WBR65542:WBR65635 WLN65542:WLN65635 WVJ65542:WVJ65635 B131078:B131171 IX131078:IX131171 ST131078:ST131171 ACP131078:ACP131171 AML131078:AML131171 AWH131078:AWH131171 BGD131078:BGD131171 BPZ131078:BPZ131171 BZV131078:BZV131171 CJR131078:CJR131171 CTN131078:CTN131171 DDJ131078:DDJ131171 DNF131078:DNF131171 DXB131078:DXB131171 EGX131078:EGX131171 EQT131078:EQT131171 FAP131078:FAP131171 FKL131078:FKL131171 FUH131078:FUH131171 GED131078:GED131171 GNZ131078:GNZ131171 GXV131078:GXV131171 HHR131078:HHR131171 HRN131078:HRN131171 IBJ131078:IBJ131171 ILF131078:ILF131171 IVB131078:IVB131171 JEX131078:JEX131171 JOT131078:JOT131171 JYP131078:JYP131171 KIL131078:KIL131171 KSH131078:KSH131171 LCD131078:LCD131171 LLZ131078:LLZ131171 LVV131078:LVV131171 MFR131078:MFR131171 MPN131078:MPN131171 MZJ131078:MZJ131171 NJF131078:NJF131171 NTB131078:NTB131171 OCX131078:OCX131171 OMT131078:OMT131171 OWP131078:OWP131171 PGL131078:PGL131171 PQH131078:PQH131171 QAD131078:QAD131171 QJZ131078:QJZ131171 QTV131078:QTV131171 RDR131078:RDR131171 RNN131078:RNN131171 RXJ131078:RXJ131171 SHF131078:SHF131171 SRB131078:SRB131171 TAX131078:TAX131171 TKT131078:TKT131171 TUP131078:TUP131171 UEL131078:UEL131171 UOH131078:UOH131171 UYD131078:UYD131171 VHZ131078:VHZ131171 VRV131078:VRV131171 WBR131078:WBR131171 WLN131078:WLN131171 WVJ131078:WVJ131171 B196614:B196707 IX196614:IX196707 ST196614:ST196707 ACP196614:ACP196707 AML196614:AML196707 AWH196614:AWH196707 BGD196614:BGD196707 BPZ196614:BPZ196707 BZV196614:BZV196707 CJR196614:CJR196707 CTN196614:CTN196707 DDJ196614:DDJ196707 DNF196614:DNF196707 DXB196614:DXB196707 EGX196614:EGX196707 EQT196614:EQT196707 FAP196614:FAP196707 FKL196614:FKL196707 FUH196614:FUH196707 GED196614:GED196707 GNZ196614:GNZ196707 GXV196614:GXV196707 HHR196614:HHR196707 HRN196614:HRN196707 IBJ196614:IBJ196707 ILF196614:ILF196707 IVB196614:IVB196707 JEX196614:JEX196707 JOT196614:JOT196707 JYP196614:JYP196707 KIL196614:KIL196707 KSH196614:KSH196707 LCD196614:LCD196707 LLZ196614:LLZ196707 LVV196614:LVV196707 MFR196614:MFR196707 MPN196614:MPN196707 MZJ196614:MZJ196707 NJF196614:NJF196707 NTB196614:NTB196707 OCX196614:OCX196707 OMT196614:OMT196707 OWP196614:OWP196707 PGL196614:PGL196707 PQH196614:PQH196707 QAD196614:QAD196707 QJZ196614:QJZ196707 QTV196614:QTV196707 RDR196614:RDR196707 RNN196614:RNN196707 RXJ196614:RXJ196707 SHF196614:SHF196707 SRB196614:SRB196707 TAX196614:TAX196707 TKT196614:TKT196707 TUP196614:TUP196707 UEL196614:UEL196707 UOH196614:UOH196707 UYD196614:UYD196707 VHZ196614:VHZ196707 VRV196614:VRV196707 WBR196614:WBR196707 WLN196614:WLN196707 WVJ196614:WVJ196707 B262150:B262243 IX262150:IX262243 ST262150:ST262243 ACP262150:ACP262243 AML262150:AML262243 AWH262150:AWH262243 BGD262150:BGD262243 BPZ262150:BPZ262243 BZV262150:BZV262243 CJR262150:CJR262243 CTN262150:CTN262243 DDJ262150:DDJ262243 DNF262150:DNF262243 DXB262150:DXB262243 EGX262150:EGX262243 EQT262150:EQT262243 FAP262150:FAP262243 FKL262150:FKL262243 FUH262150:FUH262243 GED262150:GED262243 GNZ262150:GNZ262243 GXV262150:GXV262243 HHR262150:HHR262243 HRN262150:HRN262243 IBJ262150:IBJ262243 ILF262150:ILF262243 IVB262150:IVB262243 JEX262150:JEX262243 JOT262150:JOT262243 JYP262150:JYP262243 KIL262150:KIL262243 KSH262150:KSH262243 LCD262150:LCD262243 LLZ262150:LLZ262243 LVV262150:LVV262243 MFR262150:MFR262243 MPN262150:MPN262243 MZJ262150:MZJ262243 NJF262150:NJF262243 NTB262150:NTB262243 OCX262150:OCX262243 OMT262150:OMT262243 OWP262150:OWP262243 PGL262150:PGL262243 PQH262150:PQH262243 QAD262150:QAD262243 QJZ262150:QJZ262243 QTV262150:QTV262243 RDR262150:RDR262243 RNN262150:RNN262243 RXJ262150:RXJ262243 SHF262150:SHF262243 SRB262150:SRB262243 TAX262150:TAX262243 TKT262150:TKT262243 TUP262150:TUP262243 UEL262150:UEL262243 UOH262150:UOH262243 UYD262150:UYD262243 VHZ262150:VHZ262243 VRV262150:VRV262243 WBR262150:WBR262243 WLN262150:WLN262243 WVJ262150:WVJ262243 B327686:B327779 IX327686:IX327779 ST327686:ST327779 ACP327686:ACP327779 AML327686:AML327779 AWH327686:AWH327779 BGD327686:BGD327779 BPZ327686:BPZ327779 BZV327686:BZV327779 CJR327686:CJR327779 CTN327686:CTN327779 DDJ327686:DDJ327779 DNF327686:DNF327779 DXB327686:DXB327779 EGX327686:EGX327779 EQT327686:EQT327779 FAP327686:FAP327779 FKL327686:FKL327779 FUH327686:FUH327779 GED327686:GED327779 GNZ327686:GNZ327779 GXV327686:GXV327779 HHR327686:HHR327779 HRN327686:HRN327779 IBJ327686:IBJ327779 ILF327686:ILF327779 IVB327686:IVB327779 JEX327686:JEX327779 JOT327686:JOT327779 JYP327686:JYP327779 KIL327686:KIL327779 KSH327686:KSH327779 LCD327686:LCD327779 LLZ327686:LLZ327779 LVV327686:LVV327779 MFR327686:MFR327779 MPN327686:MPN327779 MZJ327686:MZJ327779 NJF327686:NJF327779 NTB327686:NTB327779 OCX327686:OCX327779 OMT327686:OMT327779 OWP327686:OWP327779 PGL327686:PGL327779 PQH327686:PQH327779 QAD327686:QAD327779 QJZ327686:QJZ327779 QTV327686:QTV327779 RDR327686:RDR327779 RNN327686:RNN327779 RXJ327686:RXJ327779 SHF327686:SHF327779 SRB327686:SRB327779 TAX327686:TAX327779 TKT327686:TKT327779 TUP327686:TUP327779 UEL327686:UEL327779 UOH327686:UOH327779 UYD327686:UYD327779 VHZ327686:VHZ327779 VRV327686:VRV327779 WBR327686:WBR327779 WLN327686:WLN327779 WVJ327686:WVJ327779 B393222:B393315 IX393222:IX393315 ST393222:ST393315 ACP393222:ACP393315 AML393222:AML393315 AWH393222:AWH393315 BGD393222:BGD393315 BPZ393222:BPZ393315 BZV393222:BZV393315 CJR393222:CJR393315 CTN393222:CTN393315 DDJ393222:DDJ393315 DNF393222:DNF393315 DXB393222:DXB393315 EGX393222:EGX393315 EQT393222:EQT393315 FAP393222:FAP393315 FKL393222:FKL393315 FUH393222:FUH393315 GED393222:GED393315 GNZ393222:GNZ393315 GXV393222:GXV393315 HHR393222:HHR393315 HRN393222:HRN393315 IBJ393222:IBJ393315 ILF393222:ILF393315 IVB393222:IVB393315 JEX393222:JEX393315 JOT393222:JOT393315 JYP393222:JYP393315 KIL393222:KIL393315 KSH393222:KSH393315 LCD393222:LCD393315 LLZ393222:LLZ393315 LVV393222:LVV393315 MFR393222:MFR393315 MPN393222:MPN393315 MZJ393222:MZJ393315 NJF393222:NJF393315 NTB393222:NTB393315 OCX393222:OCX393315 OMT393222:OMT393315 OWP393222:OWP393315 PGL393222:PGL393315 PQH393222:PQH393315 QAD393222:QAD393315 QJZ393222:QJZ393315 QTV393222:QTV393315 RDR393222:RDR393315 RNN393222:RNN393315 RXJ393222:RXJ393315 SHF393222:SHF393315 SRB393222:SRB393315 TAX393222:TAX393315 TKT393222:TKT393315 TUP393222:TUP393315 UEL393222:UEL393315 UOH393222:UOH393315 UYD393222:UYD393315 VHZ393222:VHZ393315 VRV393222:VRV393315 WBR393222:WBR393315 WLN393222:WLN393315 WVJ393222:WVJ393315 B458758:B458851 IX458758:IX458851 ST458758:ST458851 ACP458758:ACP458851 AML458758:AML458851 AWH458758:AWH458851 BGD458758:BGD458851 BPZ458758:BPZ458851 BZV458758:BZV458851 CJR458758:CJR458851 CTN458758:CTN458851 DDJ458758:DDJ458851 DNF458758:DNF458851 DXB458758:DXB458851 EGX458758:EGX458851 EQT458758:EQT458851 FAP458758:FAP458851 FKL458758:FKL458851 FUH458758:FUH458851 GED458758:GED458851 GNZ458758:GNZ458851 GXV458758:GXV458851 HHR458758:HHR458851 HRN458758:HRN458851 IBJ458758:IBJ458851 ILF458758:ILF458851 IVB458758:IVB458851 JEX458758:JEX458851 JOT458758:JOT458851 JYP458758:JYP458851 KIL458758:KIL458851 KSH458758:KSH458851 LCD458758:LCD458851 LLZ458758:LLZ458851 LVV458758:LVV458851 MFR458758:MFR458851 MPN458758:MPN458851 MZJ458758:MZJ458851 NJF458758:NJF458851 NTB458758:NTB458851 OCX458758:OCX458851 OMT458758:OMT458851 OWP458758:OWP458851 PGL458758:PGL458851 PQH458758:PQH458851 QAD458758:QAD458851 QJZ458758:QJZ458851 QTV458758:QTV458851 RDR458758:RDR458851 RNN458758:RNN458851 RXJ458758:RXJ458851 SHF458758:SHF458851 SRB458758:SRB458851 TAX458758:TAX458851 TKT458758:TKT458851 TUP458758:TUP458851 UEL458758:UEL458851 UOH458758:UOH458851 UYD458758:UYD458851 VHZ458758:VHZ458851 VRV458758:VRV458851 WBR458758:WBR458851 WLN458758:WLN458851 WVJ458758:WVJ458851 B524294:B524387 IX524294:IX524387 ST524294:ST524387 ACP524294:ACP524387 AML524294:AML524387 AWH524294:AWH524387 BGD524294:BGD524387 BPZ524294:BPZ524387 BZV524294:BZV524387 CJR524294:CJR524387 CTN524294:CTN524387 DDJ524294:DDJ524387 DNF524294:DNF524387 DXB524294:DXB524387 EGX524294:EGX524387 EQT524294:EQT524387 FAP524294:FAP524387 FKL524294:FKL524387 FUH524294:FUH524387 GED524294:GED524387 GNZ524294:GNZ524387 GXV524294:GXV524387 HHR524294:HHR524387 HRN524294:HRN524387 IBJ524294:IBJ524387 ILF524294:ILF524387 IVB524294:IVB524387 JEX524294:JEX524387 JOT524294:JOT524387 JYP524294:JYP524387 KIL524294:KIL524387 KSH524294:KSH524387 LCD524294:LCD524387 LLZ524294:LLZ524387 LVV524294:LVV524387 MFR524294:MFR524387 MPN524294:MPN524387 MZJ524294:MZJ524387 NJF524294:NJF524387 NTB524294:NTB524387 OCX524294:OCX524387 OMT524294:OMT524387 OWP524294:OWP524387 PGL524294:PGL524387 PQH524294:PQH524387 QAD524294:QAD524387 QJZ524294:QJZ524387 QTV524294:QTV524387 RDR524294:RDR524387 RNN524294:RNN524387 RXJ524294:RXJ524387 SHF524294:SHF524387 SRB524294:SRB524387 TAX524294:TAX524387 TKT524294:TKT524387 TUP524294:TUP524387 UEL524294:UEL524387 UOH524294:UOH524387 UYD524294:UYD524387 VHZ524294:VHZ524387 VRV524294:VRV524387 WBR524294:WBR524387 WLN524294:WLN524387 WVJ524294:WVJ524387 B589830:B589923 IX589830:IX589923 ST589830:ST589923 ACP589830:ACP589923 AML589830:AML589923 AWH589830:AWH589923 BGD589830:BGD589923 BPZ589830:BPZ589923 BZV589830:BZV589923 CJR589830:CJR589923 CTN589830:CTN589923 DDJ589830:DDJ589923 DNF589830:DNF589923 DXB589830:DXB589923 EGX589830:EGX589923 EQT589830:EQT589923 FAP589830:FAP589923 FKL589830:FKL589923 FUH589830:FUH589923 GED589830:GED589923 GNZ589830:GNZ589923 GXV589830:GXV589923 HHR589830:HHR589923 HRN589830:HRN589923 IBJ589830:IBJ589923 ILF589830:ILF589923 IVB589830:IVB589923 JEX589830:JEX589923 JOT589830:JOT589923 JYP589830:JYP589923 KIL589830:KIL589923 KSH589830:KSH589923 LCD589830:LCD589923 LLZ589830:LLZ589923 LVV589830:LVV589923 MFR589830:MFR589923 MPN589830:MPN589923 MZJ589830:MZJ589923 NJF589830:NJF589923 NTB589830:NTB589923 OCX589830:OCX589923 OMT589830:OMT589923 OWP589830:OWP589923 PGL589830:PGL589923 PQH589830:PQH589923 QAD589830:QAD589923 QJZ589830:QJZ589923 QTV589830:QTV589923 RDR589830:RDR589923 RNN589830:RNN589923 RXJ589830:RXJ589923 SHF589830:SHF589923 SRB589830:SRB589923 TAX589830:TAX589923 TKT589830:TKT589923 TUP589830:TUP589923 UEL589830:UEL589923 UOH589830:UOH589923 UYD589830:UYD589923 VHZ589830:VHZ589923 VRV589830:VRV589923 WBR589830:WBR589923 WLN589830:WLN589923 WVJ589830:WVJ589923 B655366:B655459 IX655366:IX655459 ST655366:ST655459 ACP655366:ACP655459 AML655366:AML655459 AWH655366:AWH655459 BGD655366:BGD655459 BPZ655366:BPZ655459 BZV655366:BZV655459 CJR655366:CJR655459 CTN655366:CTN655459 DDJ655366:DDJ655459 DNF655366:DNF655459 DXB655366:DXB655459 EGX655366:EGX655459 EQT655366:EQT655459 FAP655366:FAP655459 FKL655366:FKL655459 FUH655366:FUH655459 GED655366:GED655459 GNZ655366:GNZ655459 GXV655366:GXV655459 HHR655366:HHR655459 HRN655366:HRN655459 IBJ655366:IBJ655459 ILF655366:ILF655459 IVB655366:IVB655459 JEX655366:JEX655459 JOT655366:JOT655459 JYP655366:JYP655459 KIL655366:KIL655459 KSH655366:KSH655459 LCD655366:LCD655459 LLZ655366:LLZ655459 LVV655366:LVV655459 MFR655366:MFR655459 MPN655366:MPN655459 MZJ655366:MZJ655459 NJF655366:NJF655459 NTB655366:NTB655459 OCX655366:OCX655459 OMT655366:OMT655459 OWP655366:OWP655459 PGL655366:PGL655459 PQH655366:PQH655459 QAD655366:QAD655459 QJZ655366:QJZ655459 QTV655366:QTV655459 RDR655366:RDR655459 RNN655366:RNN655459 RXJ655366:RXJ655459 SHF655366:SHF655459 SRB655366:SRB655459 TAX655366:TAX655459 TKT655366:TKT655459 TUP655366:TUP655459 UEL655366:UEL655459 UOH655366:UOH655459 UYD655366:UYD655459 VHZ655366:VHZ655459 VRV655366:VRV655459 WBR655366:WBR655459 WLN655366:WLN655459 WVJ655366:WVJ655459 B720902:B720995 IX720902:IX720995 ST720902:ST720995 ACP720902:ACP720995 AML720902:AML720995 AWH720902:AWH720995 BGD720902:BGD720995 BPZ720902:BPZ720995 BZV720902:BZV720995 CJR720902:CJR720995 CTN720902:CTN720995 DDJ720902:DDJ720995 DNF720902:DNF720995 DXB720902:DXB720995 EGX720902:EGX720995 EQT720902:EQT720995 FAP720902:FAP720995 FKL720902:FKL720995 FUH720902:FUH720995 GED720902:GED720995 GNZ720902:GNZ720995 GXV720902:GXV720995 HHR720902:HHR720995 HRN720902:HRN720995 IBJ720902:IBJ720995 ILF720902:ILF720995 IVB720902:IVB720995 JEX720902:JEX720995 JOT720902:JOT720995 JYP720902:JYP720995 KIL720902:KIL720995 KSH720902:KSH720995 LCD720902:LCD720995 LLZ720902:LLZ720995 LVV720902:LVV720995 MFR720902:MFR720995 MPN720902:MPN720995 MZJ720902:MZJ720995 NJF720902:NJF720995 NTB720902:NTB720995 OCX720902:OCX720995 OMT720902:OMT720995 OWP720902:OWP720995 PGL720902:PGL720995 PQH720902:PQH720995 QAD720902:QAD720995 QJZ720902:QJZ720995 QTV720902:QTV720995 RDR720902:RDR720995 RNN720902:RNN720995 RXJ720902:RXJ720995 SHF720902:SHF720995 SRB720902:SRB720995 TAX720902:TAX720995 TKT720902:TKT720995 TUP720902:TUP720995 UEL720902:UEL720995 UOH720902:UOH720995 UYD720902:UYD720995 VHZ720902:VHZ720995 VRV720902:VRV720995 WBR720902:WBR720995 WLN720902:WLN720995 WVJ720902:WVJ720995 B786438:B786531 IX786438:IX786531 ST786438:ST786531 ACP786438:ACP786531 AML786438:AML786531 AWH786438:AWH786531 BGD786438:BGD786531 BPZ786438:BPZ786531 BZV786438:BZV786531 CJR786438:CJR786531 CTN786438:CTN786531 DDJ786438:DDJ786531 DNF786438:DNF786531 DXB786438:DXB786531 EGX786438:EGX786531 EQT786438:EQT786531 FAP786438:FAP786531 FKL786438:FKL786531 FUH786438:FUH786531 GED786438:GED786531 GNZ786438:GNZ786531 GXV786438:GXV786531 HHR786438:HHR786531 HRN786438:HRN786531 IBJ786438:IBJ786531 ILF786438:ILF786531 IVB786438:IVB786531 JEX786438:JEX786531 JOT786438:JOT786531 JYP786438:JYP786531 KIL786438:KIL786531 KSH786438:KSH786531 LCD786438:LCD786531 LLZ786438:LLZ786531 LVV786438:LVV786531 MFR786438:MFR786531 MPN786438:MPN786531 MZJ786438:MZJ786531 NJF786438:NJF786531 NTB786438:NTB786531 OCX786438:OCX786531 OMT786438:OMT786531 OWP786438:OWP786531 PGL786438:PGL786531 PQH786438:PQH786531 QAD786438:QAD786531 QJZ786438:QJZ786531 QTV786438:QTV786531 RDR786438:RDR786531 RNN786438:RNN786531 RXJ786438:RXJ786531 SHF786438:SHF786531 SRB786438:SRB786531 TAX786438:TAX786531 TKT786438:TKT786531 TUP786438:TUP786531 UEL786438:UEL786531 UOH786438:UOH786531 UYD786438:UYD786531 VHZ786438:VHZ786531 VRV786438:VRV786531 WBR786438:WBR786531 WLN786438:WLN786531 WVJ786438:WVJ786531 B851974:B852067 IX851974:IX852067 ST851974:ST852067 ACP851974:ACP852067 AML851974:AML852067 AWH851974:AWH852067 BGD851974:BGD852067 BPZ851974:BPZ852067 BZV851974:BZV852067 CJR851974:CJR852067 CTN851974:CTN852067 DDJ851974:DDJ852067 DNF851974:DNF852067 DXB851974:DXB852067 EGX851974:EGX852067 EQT851974:EQT852067 FAP851974:FAP852067 FKL851974:FKL852067 FUH851974:FUH852067 GED851974:GED852067 GNZ851974:GNZ852067 GXV851974:GXV852067 HHR851974:HHR852067 HRN851974:HRN852067 IBJ851974:IBJ852067 ILF851974:ILF852067 IVB851974:IVB852067 JEX851974:JEX852067 JOT851974:JOT852067 JYP851974:JYP852067 KIL851974:KIL852067 KSH851974:KSH852067 LCD851974:LCD852067 LLZ851974:LLZ852067 LVV851974:LVV852067 MFR851974:MFR852067 MPN851974:MPN852067 MZJ851974:MZJ852067 NJF851974:NJF852067 NTB851974:NTB852067 OCX851974:OCX852067 OMT851974:OMT852067 OWP851974:OWP852067 PGL851974:PGL852067 PQH851974:PQH852067 QAD851974:QAD852067 QJZ851974:QJZ852067 QTV851974:QTV852067 RDR851974:RDR852067 RNN851974:RNN852067 RXJ851974:RXJ852067 SHF851974:SHF852067 SRB851974:SRB852067 TAX851974:TAX852067 TKT851974:TKT852067 TUP851974:TUP852067 UEL851974:UEL852067 UOH851974:UOH852067 UYD851974:UYD852067 VHZ851974:VHZ852067 VRV851974:VRV852067 WBR851974:WBR852067 WLN851974:WLN852067 WVJ851974:WVJ852067 B917510:B917603 IX917510:IX917603 ST917510:ST917603 ACP917510:ACP917603 AML917510:AML917603 AWH917510:AWH917603 BGD917510:BGD917603 BPZ917510:BPZ917603 BZV917510:BZV917603 CJR917510:CJR917603 CTN917510:CTN917603 DDJ917510:DDJ917603 DNF917510:DNF917603 DXB917510:DXB917603 EGX917510:EGX917603 EQT917510:EQT917603 FAP917510:FAP917603 FKL917510:FKL917603 FUH917510:FUH917603 GED917510:GED917603 GNZ917510:GNZ917603 GXV917510:GXV917603 HHR917510:HHR917603 HRN917510:HRN917603 IBJ917510:IBJ917603 ILF917510:ILF917603 IVB917510:IVB917603 JEX917510:JEX917603 JOT917510:JOT917603 JYP917510:JYP917603 KIL917510:KIL917603 KSH917510:KSH917603 LCD917510:LCD917603 LLZ917510:LLZ917603 LVV917510:LVV917603 MFR917510:MFR917603 MPN917510:MPN917603 MZJ917510:MZJ917603 NJF917510:NJF917603 NTB917510:NTB917603 OCX917510:OCX917603 OMT917510:OMT917603 OWP917510:OWP917603 PGL917510:PGL917603 PQH917510:PQH917603 QAD917510:QAD917603 QJZ917510:QJZ917603 QTV917510:QTV917603 RDR917510:RDR917603 RNN917510:RNN917603 RXJ917510:RXJ917603 SHF917510:SHF917603 SRB917510:SRB917603 TAX917510:TAX917603 TKT917510:TKT917603 TUP917510:TUP917603 UEL917510:UEL917603 UOH917510:UOH917603 UYD917510:UYD917603 VHZ917510:VHZ917603 VRV917510:VRV917603 WBR917510:WBR917603 WLN917510:WLN917603 WVJ917510:WVJ917603 B983046:B983139 IX983046:IX983139 ST983046:ST983139 ACP983046:ACP983139 AML983046:AML983139 AWH983046:AWH983139 BGD983046:BGD983139 BPZ983046:BPZ983139 BZV983046:BZV983139 CJR983046:CJR983139 CTN983046:CTN983139 DDJ983046:DDJ983139 DNF983046:DNF983139 DXB983046:DXB983139 EGX983046:EGX983139 EQT983046:EQT983139 FAP983046:FAP983139 FKL983046:FKL983139 FUH983046:FUH983139 GED983046:GED983139 GNZ983046:GNZ983139 GXV983046:GXV983139 HHR983046:HHR983139 HRN983046:HRN983139 IBJ983046:IBJ983139 ILF983046:ILF983139 IVB983046:IVB983139 JEX983046:JEX983139 JOT983046:JOT983139 JYP983046:JYP983139 KIL983046:KIL983139 KSH983046:KSH983139 LCD983046:LCD983139 LLZ983046:LLZ983139 LVV983046:LVV983139 MFR983046:MFR983139 MPN983046:MPN983139 MZJ983046:MZJ983139 NJF983046:NJF983139 NTB983046:NTB983139 OCX983046:OCX983139 OMT983046:OMT983139 OWP983046:OWP983139 PGL983046:PGL983139 PQH983046:PQH983139 QAD983046:QAD983139 QJZ983046:QJZ983139 QTV983046:QTV983139 RDR983046:RDR983139 RNN983046:RNN983139 RXJ983046:RXJ983139 SHF983046:SHF983139 SRB983046:SRB983139 TAX983046:TAX983139 TKT983046:TKT983139 TUP983046:TUP983139 UEL983046:UEL983139 UOH983046:UOH983139 UYD983046:UYD983139 VHZ983046:VHZ983139 VRV983046:VRV983139 WBR983046:WBR983139 WLN983046:WLN983139 B6:B100">
      <formula1>META</formula1>
    </dataValidation>
    <dataValidation type="list" allowBlank="1" showInputMessage="1" showErrorMessage="1" sqref="A6:A101 IW6:IW100 SS6:SS100 ACO6:ACO100 AMK6:AMK100 AWG6:AWG100 BGC6:BGC100 BPY6:BPY100 BZU6:BZU100 CJQ6:CJQ100 CTM6:CTM100 DDI6:DDI100 DNE6:DNE100 DXA6:DXA100 EGW6:EGW100 EQS6:EQS100 FAO6:FAO100 FKK6:FKK100 FUG6:FUG100 GEC6:GEC100 GNY6:GNY100 GXU6:GXU100 HHQ6:HHQ100 HRM6:HRM100 IBI6:IBI100 ILE6:ILE100 IVA6:IVA100 JEW6:JEW100 JOS6:JOS100 JYO6:JYO100 KIK6:KIK100 KSG6:KSG100 LCC6:LCC100 LLY6:LLY100 LVU6:LVU100 MFQ6:MFQ100 MPM6:MPM100 MZI6:MZI100 NJE6:NJE100 NTA6:NTA100 OCW6:OCW100 OMS6:OMS100 OWO6:OWO100 PGK6:PGK100 PQG6:PQG100 QAC6:QAC100 QJY6:QJY100 QTU6:QTU100 RDQ6:RDQ100 RNM6:RNM100 RXI6:RXI100 SHE6:SHE100 SRA6:SRA100 TAW6:TAW100 TKS6:TKS100 TUO6:TUO100 UEK6:UEK100 UOG6:UOG100 UYC6:UYC100 VHY6:VHY100 VRU6:VRU100 WBQ6:WBQ100 WLM6:WLM100 WVI6:WVI100 A65542:A65635 IW65542:IW65635 SS65542:SS65635 ACO65542:ACO65635 AMK65542:AMK65635 AWG65542:AWG65635 BGC65542:BGC65635 BPY65542:BPY65635 BZU65542:BZU65635 CJQ65542:CJQ65635 CTM65542:CTM65635 DDI65542:DDI65635 DNE65542:DNE65635 DXA65542:DXA65635 EGW65542:EGW65635 EQS65542:EQS65635 FAO65542:FAO65635 FKK65542:FKK65635 FUG65542:FUG65635 GEC65542:GEC65635 GNY65542:GNY65635 GXU65542:GXU65635 HHQ65542:HHQ65635 HRM65542:HRM65635 IBI65542:IBI65635 ILE65542:ILE65635 IVA65542:IVA65635 JEW65542:JEW65635 JOS65542:JOS65635 JYO65542:JYO65635 KIK65542:KIK65635 KSG65542:KSG65635 LCC65542:LCC65635 LLY65542:LLY65635 LVU65542:LVU65635 MFQ65542:MFQ65635 MPM65542:MPM65635 MZI65542:MZI65635 NJE65542:NJE65635 NTA65542:NTA65635 OCW65542:OCW65635 OMS65542:OMS65635 OWO65542:OWO65635 PGK65542:PGK65635 PQG65542:PQG65635 QAC65542:QAC65635 QJY65542:QJY65635 QTU65542:QTU65635 RDQ65542:RDQ65635 RNM65542:RNM65635 RXI65542:RXI65635 SHE65542:SHE65635 SRA65542:SRA65635 TAW65542:TAW65635 TKS65542:TKS65635 TUO65542:TUO65635 UEK65542:UEK65635 UOG65542:UOG65635 UYC65542:UYC65635 VHY65542:VHY65635 VRU65542:VRU65635 WBQ65542:WBQ65635 WLM65542:WLM65635 WVI65542:WVI65635 A131078:A131171 IW131078:IW131171 SS131078:SS131171 ACO131078:ACO131171 AMK131078:AMK131171 AWG131078:AWG131171 BGC131078:BGC131171 BPY131078:BPY131171 BZU131078:BZU131171 CJQ131078:CJQ131171 CTM131078:CTM131171 DDI131078:DDI131171 DNE131078:DNE131171 DXA131078:DXA131171 EGW131078:EGW131171 EQS131078:EQS131171 FAO131078:FAO131171 FKK131078:FKK131171 FUG131078:FUG131171 GEC131078:GEC131171 GNY131078:GNY131171 GXU131078:GXU131171 HHQ131078:HHQ131171 HRM131078:HRM131171 IBI131078:IBI131171 ILE131078:ILE131171 IVA131078:IVA131171 JEW131078:JEW131171 JOS131078:JOS131171 JYO131078:JYO131171 KIK131078:KIK131171 KSG131078:KSG131171 LCC131078:LCC131171 LLY131078:LLY131171 LVU131078:LVU131171 MFQ131078:MFQ131171 MPM131078:MPM131171 MZI131078:MZI131171 NJE131078:NJE131171 NTA131078:NTA131171 OCW131078:OCW131171 OMS131078:OMS131171 OWO131078:OWO131171 PGK131078:PGK131171 PQG131078:PQG131171 QAC131078:QAC131171 QJY131078:QJY131171 QTU131078:QTU131171 RDQ131078:RDQ131171 RNM131078:RNM131171 RXI131078:RXI131171 SHE131078:SHE131171 SRA131078:SRA131171 TAW131078:TAW131171 TKS131078:TKS131171 TUO131078:TUO131171 UEK131078:UEK131171 UOG131078:UOG131171 UYC131078:UYC131171 VHY131078:VHY131171 VRU131078:VRU131171 WBQ131078:WBQ131171 WLM131078:WLM131171 WVI131078:WVI131171 A196614:A196707 IW196614:IW196707 SS196614:SS196707 ACO196614:ACO196707 AMK196614:AMK196707 AWG196614:AWG196707 BGC196614:BGC196707 BPY196614:BPY196707 BZU196614:BZU196707 CJQ196614:CJQ196707 CTM196614:CTM196707 DDI196614:DDI196707 DNE196614:DNE196707 DXA196614:DXA196707 EGW196614:EGW196707 EQS196614:EQS196707 FAO196614:FAO196707 FKK196614:FKK196707 FUG196614:FUG196707 GEC196614:GEC196707 GNY196614:GNY196707 GXU196614:GXU196707 HHQ196614:HHQ196707 HRM196614:HRM196707 IBI196614:IBI196707 ILE196614:ILE196707 IVA196614:IVA196707 JEW196614:JEW196707 JOS196614:JOS196707 JYO196614:JYO196707 KIK196614:KIK196707 KSG196614:KSG196707 LCC196614:LCC196707 LLY196614:LLY196707 LVU196614:LVU196707 MFQ196614:MFQ196707 MPM196614:MPM196707 MZI196614:MZI196707 NJE196614:NJE196707 NTA196614:NTA196707 OCW196614:OCW196707 OMS196614:OMS196707 OWO196614:OWO196707 PGK196614:PGK196707 PQG196614:PQG196707 QAC196614:QAC196707 QJY196614:QJY196707 QTU196614:QTU196707 RDQ196614:RDQ196707 RNM196614:RNM196707 RXI196614:RXI196707 SHE196614:SHE196707 SRA196614:SRA196707 TAW196614:TAW196707 TKS196614:TKS196707 TUO196614:TUO196707 UEK196614:UEK196707 UOG196614:UOG196707 UYC196614:UYC196707 VHY196614:VHY196707 VRU196614:VRU196707 WBQ196614:WBQ196707 WLM196614:WLM196707 WVI196614:WVI196707 A262150:A262243 IW262150:IW262243 SS262150:SS262243 ACO262150:ACO262243 AMK262150:AMK262243 AWG262150:AWG262243 BGC262150:BGC262243 BPY262150:BPY262243 BZU262150:BZU262243 CJQ262150:CJQ262243 CTM262150:CTM262243 DDI262150:DDI262243 DNE262150:DNE262243 DXA262150:DXA262243 EGW262150:EGW262243 EQS262150:EQS262243 FAO262150:FAO262243 FKK262150:FKK262243 FUG262150:FUG262243 GEC262150:GEC262243 GNY262150:GNY262243 GXU262150:GXU262243 HHQ262150:HHQ262243 HRM262150:HRM262243 IBI262150:IBI262243 ILE262150:ILE262243 IVA262150:IVA262243 JEW262150:JEW262243 JOS262150:JOS262243 JYO262150:JYO262243 KIK262150:KIK262243 KSG262150:KSG262243 LCC262150:LCC262243 LLY262150:LLY262243 LVU262150:LVU262243 MFQ262150:MFQ262243 MPM262150:MPM262243 MZI262150:MZI262243 NJE262150:NJE262243 NTA262150:NTA262243 OCW262150:OCW262243 OMS262150:OMS262243 OWO262150:OWO262243 PGK262150:PGK262243 PQG262150:PQG262243 QAC262150:QAC262243 QJY262150:QJY262243 QTU262150:QTU262243 RDQ262150:RDQ262243 RNM262150:RNM262243 RXI262150:RXI262243 SHE262150:SHE262243 SRA262150:SRA262243 TAW262150:TAW262243 TKS262150:TKS262243 TUO262150:TUO262243 UEK262150:UEK262243 UOG262150:UOG262243 UYC262150:UYC262243 VHY262150:VHY262243 VRU262150:VRU262243 WBQ262150:WBQ262243 WLM262150:WLM262243 WVI262150:WVI262243 A327686:A327779 IW327686:IW327779 SS327686:SS327779 ACO327686:ACO327779 AMK327686:AMK327779 AWG327686:AWG327779 BGC327686:BGC327779 BPY327686:BPY327779 BZU327686:BZU327779 CJQ327686:CJQ327779 CTM327686:CTM327779 DDI327686:DDI327779 DNE327686:DNE327779 DXA327686:DXA327779 EGW327686:EGW327779 EQS327686:EQS327779 FAO327686:FAO327779 FKK327686:FKK327779 FUG327686:FUG327779 GEC327686:GEC327779 GNY327686:GNY327779 GXU327686:GXU327779 HHQ327686:HHQ327779 HRM327686:HRM327779 IBI327686:IBI327779 ILE327686:ILE327779 IVA327686:IVA327779 JEW327686:JEW327779 JOS327686:JOS327779 JYO327686:JYO327779 KIK327686:KIK327779 KSG327686:KSG327779 LCC327686:LCC327779 LLY327686:LLY327779 LVU327686:LVU327779 MFQ327686:MFQ327779 MPM327686:MPM327779 MZI327686:MZI327779 NJE327686:NJE327779 NTA327686:NTA327779 OCW327686:OCW327779 OMS327686:OMS327779 OWO327686:OWO327779 PGK327686:PGK327779 PQG327686:PQG327779 QAC327686:QAC327779 QJY327686:QJY327779 QTU327686:QTU327779 RDQ327686:RDQ327779 RNM327686:RNM327779 RXI327686:RXI327779 SHE327686:SHE327779 SRA327686:SRA327779 TAW327686:TAW327779 TKS327686:TKS327779 TUO327686:TUO327779 UEK327686:UEK327779 UOG327686:UOG327779 UYC327686:UYC327779 VHY327686:VHY327779 VRU327686:VRU327779 WBQ327686:WBQ327779 WLM327686:WLM327779 WVI327686:WVI327779 A393222:A393315 IW393222:IW393315 SS393222:SS393315 ACO393222:ACO393315 AMK393222:AMK393315 AWG393222:AWG393315 BGC393222:BGC393315 BPY393222:BPY393315 BZU393222:BZU393315 CJQ393222:CJQ393315 CTM393222:CTM393315 DDI393222:DDI393315 DNE393222:DNE393315 DXA393222:DXA393315 EGW393222:EGW393315 EQS393222:EQS393315 FAO393222:FAO393315 FKK393222:FKK393315 FUG393222:FUG393315 GEC393222:GEC393315 GNY393222:GNY393315 GXU393222:GXU393315 HHQ393222:HHQ393315 HRM393222:HRM393315 IBI393222:IBI393315 ILE393222:ILE393315 IVA393222:IVA393315 JEW393222:JEW393315 JOS393222:JOS393315 JYO393222:JYO393315 KIK393222:KIK393315 KSG393222:KSG393315 LCC393222:LCC393315 LLY393222:LLY393315 LVU393222:LVU393315 MFQ393222:MFQ393315 MPM393222:MPM393315 MZI393222:MZI393315 NJE393222:NJE393315 NTA393222:NTA393315 OCW393222:OCW393315 OMS393222:OMS393315 OWO393222:OWO393315 PGK393222:PGK393315 PQG393222:PQG393315 QAC393222:QAC393315 QJY393222:QJY393315 QTU393222:QTU393315 RDQ393222:RDQ393315 RNM393222:RNM393315 RXI393222:RXI393315 SHE393222:SHE393315 SRA393222:SRA393315 TAW393222:TAW393315 TKS393222:TKS393315 TUO393222:TUO393315 UEK393222:UEK393315 UOG393222:UOG393315 UYC393222:UYC393315 VHY393222:VHY393315 VRU393222:VRU393315 WBQ393222:WBQ393315 WLM393222:WLM393315 WVI393222:WVI393315 A458758:A458851 IW458758:IW458851 SS458758:SS458851 ACO458758:ACO458851 AMK458758:AMK458851 AWG458758:AWG458851 BGC458758:BGC458851 BPY458758:BPY458851 BZU458758:BZU458851 CJQ458758:CJQ458851 CTM458758:CTM458851 DDI458758:DDI458851 DNE458758:DNE458851 DXA458758:DXA458851 EGW458758:EGW458851 EQS458758:EQS458851 FAO458758:FAO458851 FKK458758:FKK458851 FUG458758:FUG458851 GEC458758:GEC458851 GNY458758:GNY458851 GXU458758:GXU458851 HHQ458758:HHQ458851 HRM458758:HRM458851 IBI458758:IBI458851 ILE458758:ILE458851 IVA458758:IVA458851 JEW458758:JEW458851 JOS458758:JOS458851 JYO458758:JYO458851 KIK458758:KIK458851 KSG458758:KSG458851 LCC458758:LCC458851 LLY458758:LLY458851 LVU458758:LVU458851 MFQ458758:MFQ458851 MPM458758:MPM458851 MZI458758:MZI458851 NJE458758:NJE458851 NTA458758:NTA458851 OCW458758:OCW458851 OMS458758:OMS458851 OWO458758:OWO458851 PGK458758:PGK458851 PQG458758:PQG458851 QAC458758:QAC458851 QJY458758:QJY458851 QTU458758:QTU458851 RDQ458758:RDQ458851 RNM458758:RNM458851 RXI458758:RXI458851 SHE458758:SHE458851 SRA458758:SRA458851 TAW458758:TAW458851 TKS458758:TKS458851 TUO458758:TUO458851 UEK458758:UEK458851 UOG458758:UOG458851 UYC458758:UYC458851 VHY458758:VHY458851 VRU458758:VRU458851 WBQ458758:WBQ458851 WLM458758:WLM458851 WVI458758:WVI458851 A524294:A524387 IW524294:IW524387 SS524294:SS524387 ACO524294:ACO524387 AMK524294:AMK524387 AWG524294:AWG524387 BGC524294:BGC524387 BPY524294:BPY524387 BZU524294:BZU524387 CJQ524294:CJQ524387 CTM524294:CTM524387 DDI524294:DDI524387 DNE524294:DNE524387 DXA524294:DXA524387 EGW524294:EGW524387 EQS524294:EQS524387 FAO524294:FAO524387 FKK524294:FKK524387 FUG524294:FUG524387 GEC524294:GEC524387 GNY524294:GNY524387 GXU524294:GXU524387 HHQ524294:HHQ524387 HRM524294:HRM524387 IBI524294:IBI524387 ILE524294:ILE524387 IVA524294:IVA524387 JEW524294:JEW524387 JOS524294:JOS524387 JYO524294:JYO524387 KIK524294:KIK524387 KSG524294:KSG524387 LCC524294:LCC524387 LLY524294:LLY524387 LVU524294:LVU524387 MFQ524294:MFQ524387 MPM524294:MPM524387 MZI524294:MZI524387 NJE524294:NJE524387 NTA524294:NTA524387 OCW524294:OCW524387 OMS524294:OMS524387 OWO524294:OWO524387 PGK524294:PGK524387 PQG524294:PQG524387 QAC524294:QAC524387 QJY524294:QJY524387 QTU524294:QTU524387 RDQ524294:RDQ524387 RNM524294:RNM524387 RXI524294:RXI524387 SHE524294:SHE524387 SRA524294:SRA524387 TAW524294:TAW524387 TKS524294:TKS524387 TUO524294:TUO524387 UEK524294:UEK524387 UOG524294:UOG524387 UYC524294:UYC524387 VHY524294:VHY524387 VRU524294:VRU524387 WBQ524294:WBQ524387 WLM524294:WLM524387 WVI524294:WVI524387 A589830:A589923 IW589830:IW589923 SS589830:SS589923 ACO589830:ACO589923 AMK589830:AMK589923 AWG589830:AWG589923 BGC589830:BGC589923 BPY589830:BPY589923 BZU589830:BZU589923 CJQ589830:CJQ589923 CTM589830:CTM589923 DDI589830:DDI589923 DNE589830:DNE589923 DXA589830:DXA589923 EGW589830:EGW589923 EQS589830:EQS589923 FAO589830:FAO589923 FKK589830:FKK589923 FUG589830:FUG589923 GEC589830:GEC589923 GNY589830:GNY589923 GXU589830:GXU589923 HHQ589830:HHQ589923 HRM589830:HRM589923 IBI589830:IBI589923 ILE589830:ILE589923 IVA589830:IVA589923 JEW589830:JEW589923 JOS589830:JOS589923 JYO589830:JYO589923 KIK589830:KIK589923 KSG589830:KSG589923 LCC589830:LCC589923 LLY589830:LLY589923 LVU589830:LVU589923 MFQ589830:MFQ589923 MPM589830:MPM589923 MZI589830:MZI589923 NJE589830:NJE589923 NTA589830:NTA589923 OCW589830:OCW589923 OMS589830:OMS589923 OWO589830:OWO589923 PGK589830:PGK589923 PQG589830:PQG589923 QAC589830:QAC589923 QJY589830:QJY589923 QTU589830:QTU589923 RDQ589830:RDQ589923 RNM589830:RNM589923 RXI589830:RXI589923 SHE589830:SHE589923 SRA589830:SRA589923 TAW589830:TAW589923 TKS589830:TKS589923 TUO589830:TUO589923 UEK589830:UEK589923 UOG589830:UOG589923 UYC589830:UYC589923 VHY589830:VHY589923 VRU589830:VRU589923 WBQ589830:WBQ589923 WLM589830:WLM589923 WVI589830:WVI589923 A655366:A655459 IW655366:IW655459 SS655366:SS655459 ACO655366:ACO655459 AMK655366:AMK655459 AWG655366:AWG655459 BGC655366:BGC655459 BPY655366:BPY655459 BZU655366:BZU655459 CJQ655366:CJQ655459 CTM655366:CTM655459 DDI655366:DDI655459 DNE655366:DNE655459 DXA655366:DXA655459 EGW655366:EGW655459 EQS655366:EQS655459 FAO655366:FAO655459 FKK655366:FKK655459 FUG655366:FUG655459 GEC655366:GEC655459 GNY655366:GNY655459 GXU655366:GXU655459 HHQ655366:HHQ655459 HRM655366:HRM655459 IBI655366:IBI655459 ILE655366:ILE655459 IVA655366:IVA655459 JEW655366:JEW655459 JOS655366:JOS655459 JYO655366:JYO655459 KIK655366:KIK655459 KSG655366:KSG655459 LCC655366:LCC655459 LLY655366:LLY655459 LVU655366:LVU655459 MFQ655366:MFQ655459 MPM655366:MPM655459 MZI655366:MZI655459 NJE655366:NJE655459 NTA655366:NTA655459 OCW655366:OCW655459 OMS655366:OMS655459 OWO655366:OWO655459 PGK655366:PGK655459 PQG655366:PQG655459 QAC655366:QAC655459 QJY655366:QJY655459 QTU655366:QTU655459 RDQ655366:RDQ655459 RNM655366:RNM655459 RXI655366:RXI655459 SHE655366:SHE655459 SRA655366:SRA655459 TAW655366:TAW655459 TKS655366:TKS655459 TUO655366:TUO655459 UEK655366:UEK655459 UOG655366:UOG655459 UYC655366:UYC655459 VHY655366:VHY655459 VRU655366:VRU655459 WBQ655366:WBQ655459 WLM655366:WLM655459 WVI655366:WVI655459 A720902:A720995 IW720902:IW720995 SS720902:SS720995 ACO720902:ACO720995 AMK720902:AMK720995 AWG720902:AWG720995 BGC720902:BGC720995 BPY720902:BPY720995 BZU720902:BZU720995 CJQ720902:CJQ720995 CTM720902:CTM720995 DDI720902:DDI720995 DNE720902:DNE720995 DXA720902:DXA720995 EGW720902:EGW720995 EQS720902:EQS720995 FAO720902:FAO720995 FKK720902:FKK720995 FUG720902:FUG720995 GEC720902:GEC720995 GNY720902:GNY720995 GXU720902:GXU720995 HHQ720902:HHQ720995 HRM720902:HRM720995 IBI720902:IBI720995 ILE720902:ILE720995 IVA720902:IVA720995 JEW720902:JEW720995 JOS720902:JOS720995 JYO720902:JYO720995 KIK720902:KIK720995 KSG720902:KSG720995 LCC720902:LCC720995 LLY720902:LLY720995 LVU720902:LVU720995 MFQ720902:MFQ720995 MPM720902:MPM720995 MZI720902:MZI720995 NJE720902:NJE720995 NTA720902:NTA720995 OCW720902:OCW720995 OMS720902:OMS720995 OWO720902:OWO720995 PGK720902:PGK720995 PQG720902:PQG720995 QAC720902:QAC720995 QJY720902:QJY720995 QTU720902:QTU720995 RDQ720902:RDQ720995 RNM720902:RNM720995 RXI720902:RXI720995 SHE720902:SHE720995 SRA720902:SRA720995 TAW720902:TAW720995 TKS720902:TKS720995 TUO720902:TUO720995 UEK720902:UEK720995 UOG720902:UOG720995 UYC720902:UYC720995 VHY720902:VHY720995 VRU720902:VRU720995 WBQ720902:WBQ720995 WLM720902:WLM720995 WVI720902:WVI720995 A786438:A786531 IW786438:IW786531 SS786438:SS786531 ACO786438:ACO786531 AMK786438:AMK786531 AWG786438:AWG786531 BGC786438:BGC786531 BPY786438:BPY786531 BZU786438:BZU786531 CJQ786438:CJQ786531 CTM786438:CTM786531 DDI786438:DDI786531 DNE786438:DNE786531 DXA786438:DXA786531 EGW786438:EGW786531 EQS786438:EQS786531 FAO786438:FAO786531 FKK786438:FKK786531 FUG786438:FUG786531 GEC786438:GEC786531 GNY786438:GNY786531 GXU786438:GXU786531 HHQ786438:HHQ786531 HRM786438:HRM786531 IBI786438:IBI786531 ILE786438:ILE786531 IVA786438:IVA786531 JEW786438:JEW786531 JOS786438:JOS786531 JYO786438:JYO786531 KIK786438:KIK786531 KSG786438:KSG786531 LCC786438:LCC786531 LLY786438:LLY786531 LVU786438:LVU786531 MFQ786438:MFQ786531 MPM786438:MPM786531 MZI786438:MZI786531 NJE786438:NJE786531 NTA786438:NTA786531 OCW786438:OCW786531 OMS786438:OMS786531 OWO786438:OWO786531 PGK786438:PGK786531 PQG786438:PQG786531 QAC786438:QAC786531 QJY786438:QJY786531 QTU786438:QTU786531 RDQ786438:RDQ786531 RNM786438:RNM786531 RXI786438:RXI786531 SHE786438:SHE786531 SRA786438:SRA786531 TAW786438:TAW786531 TKS786438:TKS786531 TUO786438:TUO786531 UEK786438:UEK786531 UOG786438:UOG786531 UYC786438:UYC786531 VHY786438:VHY786531 VRU786438:VRU786531 WBQ786438:WBQ786531 WLM786438:WLM786531 WVI786438:WVI786531 A851974:A852067 IW851974:IW852067 SS851974:SS852067 ACO851974:ACO852067 AMK851974:AMK852067 AWG851974:AWG852067 BGC851974:BGC852067 BPY851974:BPY852067 BZU851974:BZU852067 CJQ851974:CJQ852067 CTM851974:CTM852067 DDI851974:DDI852067 DNE851974:DNE852067 DXA851974:DXA852067 EGW851974:EGW852067 EQS851974:EQS852067 FAO851974:FAO852067 FKK851974:FKK852067 FUG851974:FUG852067 GEC851974:GEC852067 GNY851974:GNY852067 GXU851974:GXU852067 HHQ851974:HHQ852067 HRM851974:HRM852067 IBI851974:IBI852067 ILE851974:ILE852067 IVA851974:IVA852067 JEW851974:JEW852067 JOS851974:JOS852067 JYO851974:JYO852067 KIK851974:KIK852067 KSG851974:KSG852067 LCC851974:LCC852067 LLY851974:LLY852067 LVU851974:LVU852067 MFQ851974:MFQ852067 MPM851974:MPM852067 MZI851974:MZI852067 NJE851974:NJE852067 NTA851974:NTA852067 OCW851974:OCW852067 OMS851974:OMS852067 OWO851974:OWO852067 PGK851974:PGK852067 PQG851974:PQG852067 QAC851974:QAC852067 QJY851974:QJY852067 QTU851974:QTU852067 RDQ851974:RDQ852067 RNM851974:RNM852067 RXI851974:RXI852067 SHE851974:SHE852067 SRA851974:SRA852067 TAW851974:TAW852067 TKS851974:TKS852067 TUO851974:TUO852067 UEK851974:UEK852067 UOG851974:UOG852067 UYC851974:UYC852067 VHY851974:VHY852067 VRU851974:VRU852067 WBQ851974:WBQ852067 WLM851974:WLM852067 WVI851974:WVI852067 A917510:A917603 IW917510:IW917603 SS917510:SS917603 ACO917510:ACO917603 AMK917510:AMK917603 AWG917510:AWG917603 BGC917510:BGC917603 BPY917510:BPY917603 BZU917510:BZU917603 CJQ917510:CJQ917603 CTM917510:CTM917603 DDI917510:DDI917603 DNE917510:DNE917603 DXA917510:DXA917603 EGW917510:EGW917603 EQS917510:EQS917603 FAO917510:FAO917603 FKK917510:FKK917603 FUG917510:FUG917603 GEC917510:GEC917603 GNY917510:GNY917603 GXU917510:GXU917603 HHQ917510:HHQ917603 HRM917510:HRM917603 IBI917510:IBI917603 ILE917510:ILE917603 IVA917510:IVA917603 JEW917510:JEW917603 JOS917510:JOS917603 JYO917510:JYO917603 KIK917510:KIK917603 KSG917510:KSG917603 LCC917510:LCC917603 LLY917510:LLY917603 LVU917510:LVU917603 MFQ917510:MFQ917603 MPM917510:MPM917603 MZI917510:MZI917603 NJE917510:NJE917603 NTA917510:NTA917603 OCW917510:OCW917603 OMS917510:OMS917603 OWO917510:OWO917603 PGK917510:PGK917603 PQG917510:PQG917603 QAC917510:QAC917603 QJY917510:QJY917603 QTU917510:QTU917603 RDQ917510:RDQ917603 RNM917510:RNM917603 RXI917510:RXI917603 SHE917510:SHE917603 SRA917510:SRA917603 TAW917510:TAW917603 TKS917510:TKS917603 TUO917510:TUO917603 UEK917510:UEK917603 UOG917510:UOG917603 UYC917510:UYC917603 VHY917510:VHY917603 VRU917510:VRU917603 WBQ917510:WBQ917603 WLM917510:WLM917603 WVI917510:WVI917603 A983046:A983139 IW983046:IW983139 SS983046:SS983139 ACO983046:ACO983139 AMK983046:AMK983139 AWG983046:AWG983139 BGC983046:BGC983139 BPY983046:BPY983139 BZU983046:BZU983139 CJQ983046:CJQ983139 CTM983046:CTM983139 DDI983046:DDI983139 DNE983046:DNE983139 DXA983046:DXA983139 EGW983046:EGW983139 EQS983046:EQS983139 FAO983046:FAO983139 FKK983046:FKK983139 FUG983046:FUG983139 GEC983046:GEC983139 GNY983046:GNY983139 GXU983046:GXU983139 HHQ983046:HHQ983139 HRM983046:HRM983139 IBI983046:IBI983139 ILE983046:ILE983139 IVA983046:IVA983139 JEW983046:JEW983139 JOS983046:JOS983139 JYO983046:JYO983139 KIK983046:KIK983139 KSG983046:KSG983139 LCC983046:LCC983139 LLY983046:LLY983139 LVU983046:LVU983139 MFQ983046:MFQ983139 MPM983046:MPM983139 MZI983046:MZI983139 NJE983046:NJE983139 NTA983046:NTA983139 OCW983046:OCW983139 OMS983046:OMS983139 OWO983046:OWO983139 PGK983046:PGK983139 PQG983046:PQG983139 QAC983046:QAC983139 QJY983046:QJY983139 QTU983046:QTU983139 RDQ983046:RDQ983139 RNM983046:RNM983139 RXI983046:RXI983139 SHE983046:SHE983139 SRA983046:SRA983139 TAW983046:TAW983139 TKS983046:TKS983139 TUO983046:TUO983139 UEK983046:UEK983139 UOG983046:UOG983139 UYC983046:UYC983139 VHY983046:VHY983139 VRU983046:VRU983139 WBQ983046:WBQ983139 WLM983046:WLM983139 WVI983046:WVI983139">
      <formula1>PROYECTO</formula1>
    </dataValidation>
    <dataValidation type="list" allowBlank="1" showInputMessage="1" showErrorMessage="1" sqref="G97:G99 JC97:JC99 SY97:SY99 ACU97:ACU99 AMQ97:AMQ99 AWM97:AWM99 BGI97:BGI99 BQE97:BQE99 CAA97:CAA99 CJW97:CJW99 CTS97:CTS99 DDO97:DDO99 DNK97:DNK99 DXG97:DXG99 EHC97:EHC99 EQY97:EQY99 FAU97:FAU99 FKQ97:FKQ99 FUM97:FUM99 GEI97:GEI99 GOE97:GOE99 GYA97:GYA99 HHW97:HHW99 HRS97:HRS99 IBO97:IBO99 ILK97:ILK99 IVG97:IVG99 JFC97:JFC99 JOY97:JOY99 JYU97:JYU99 KIQ97:KIQ99 KSM97:KSM99 LCI97:LCI99 LME97:LME99 LWA97:LWA99 MFW97:MFW99 MPS97:MPS99 MZO97:MZO99 NJK97:NJK99 NTG97:NTG99 ODC97:ODC99 OMY97:OMY99 OWU97:OWU99 PGQ97:PGQ99 PQM97:PQM99 QAI97:QAI99 QKE97:QKE99 QUA97:QUA99 RDW97:RDW99 RNS97:RNS99 RXO97:RXO99 SHK97:SHK99 SRG97:SRG99 TBC97:TBC99 TKY97:TKY99 TUU97:TUU99 UEQ97:UEQ99 UOM97:UOM99 UYI97:UYI99 VIE97:VIE99 VSA97:VSA99 WBW97:WBW99 WLS97:WLS99 WVO97:WVO99 G65633:G65635 JC65633:JC65635 SY65633:SY65635 ACU65633:ACU65635 AMQ65633:AMQ65635 AWM65633:AWM65635 BGI65633:BGI65635 BQE65633:BQE65635 CAA65633:CAA65635 CJW65633:CJW65635 CTS65633:CTS65635 DDO65633:DDO65635 DNK65633:DNK65635 DXG65633:DXG65635 EHC65633:EHC65635 EQY65633:EQY65635 FAU65633:FAU65635 FKQ65633:FKQ65635 FUM65633:FUM65635 GEI65633:GEI65635 GOE65633:GOE65635 GYA65633:GYA65635 HHW65633:HHW65635 HRS65633:HRS65635 IBO65633:IBO65635 ILK65633:ILK65635 IVG65633:IVG65635 JFC65633:JFC65635 JOY65633:JOY65635 JYU65633:JYU65635 KIQ65633:KIQ65635 KSM65633:KSM65635 LCI65633:LCI65635 LME65633:LME65635 LWA65633:LWA65635 MFW65633:MFW65635 MPS65633:MPS65635 MZO65633:MZO65635 NJK65633:NJK65635 NTG65633:NTG65635 ODC65633:ODC65635 OMY65633:OMY65635 OWU65633:OWU65635 PGQ65633:PGQ65635 PQM65633:PQM65635 QAI65633:QAI65635 QKE65633:QKE65635 QUA65633:QUA65635 RDW65633:RDW65635 RNS65633:RNS65635 RXO65633:RXO65635 SHK65633:SHK65635 SRG65633:SRG65635 TBC65633:TBC65635 TKY65633:TKY65635 TUU65633:TUU65635 UEQ65633:UEQ65635 UOM65633:UOM65635 UYI65633:UYI65635 VIE65633:VIE65635 VSA65633:VSA65635 WBW65633:WBW65635 WLS65633:WLS65635 WVO65633:WVO65635 G131169:G131171 JC131169:JC131171 SY131169:SY131171 ACU131169:ACU131171 AMQ131169:AMQ131171 AWM131169:AWM131171 BGI131169:BGI131171 BQE131169:BQE131171 CAA131169:CAA131171 CJW131169:CJW131171 CTS131169:CTS131171 DDO131169:DDO131171 DNK131169:DNK131171 DXG131169:DXG131171 EHC131169:EHC131171 EQY131169:EQY131171 FAU131169:FAU131171 FKQ131169:FKQ131171 FUM131169:FUM131171 GEI131169:GEI131171 GOE131169:GOE131171 GYA131169:GYA131171 HHW131169:HHW131171 HRS131169:HRS131171 IBO131169:IBO131171 ILK131169:ILK131171 IVG131169:IVG131171 JFC131169:JFC131171 JOY131169:JOY131171 JYU131169:JYU131171 KIQ131169:KIQ131171 KSM131169:KSM131171 LCI131169:LCI131171 LME131169:LME131171 LWA131169:LWA131171 MFW131169:MFW131171 MPS131169:MPS131171 MZO131169:MZO131171 NJK131169:NJK131171 NTG131169:NTG131171 ODC131169:ODC131171 OMY131169:OMY131171 OWU131169:OWU131171 PGQ131169:PGQ131171 PQM131169:PQM131171 QAI131169:QAI131171 QKE131169:QKE131171 QUA131169:QUA131171 RDW131169:RDW131171 RNS131169:RNS131171 RXO131169:RXO131171 SHK131169:SHK131171 SRG131169:SRG131171 TBC131169:TBC131171 TKY131169:TKY131171 TUU131169:TUU131171 UEQ131169:UEQ131171 UOM131169:UOM131171 UYI131169:UYI131171 VIE131169:VIE131171 VSA131169:VSA131171 WBW131169:WBW131171 WLS131169:WLS131171 WVO131169:WVO131171 G196705:G196707 JC196705:JC196707 SY196705:SY196707 ACU196705:ACU196707 AMQ196705:AMQ196707 AWM196705:AWM196707 BGI196705:BGI196707 BQE196705:BQE196707 CAA196705:CAA196707 CJW196705:CJW196707 CTS196705:CTS196707 DDO196705:DDO196707 DNK196705:DNK196707 DXG196705:DXG196707 EHC196705:EHC196707 EQY196705:EQY196707 FAU196705:FAU196707 FKQ196705:FKQ196707 FUM196705:FUM196707 GEI196705:GEI196707 GOE196705:GOE196707 GYA196705:GYA196707 HHW196705:HHW196707 HRS196705:HRS196707 IBO196705:IBO196707 ILK196705:ILK196707 IVG196705:IVG196707 JFC196705:JFC196707 JOY196705:JOY196707 JYU196705:JYU196707 KIQ196705:KIQ196707 KSM196705:KSM196707 LCI196705:LCI196707 LME196705:LME196707 LWA196705:LWA196707 MFW196705:MFW196707 MPS196705:MPS196707 MZO196705:MZO196707 NJK196705:NJK196707 NTG196705:NTG196707 ODC196705:ODC196707 OMY196705:OMY196707 OWU196705:OWU196707 PGQ196705:PGQ196707 PQM196705:PQM196707 QAI196705:QAI196707 QKE196705:QKE196707 QUA196705:QUA196707 RDW196705:RDW196707 RNS196705:RNS196707 RXO196705:RXO196707 SHK196705:SHK196707 SRG196705:SRG196707 TBC196705:TBC196707 TKY196705:TKY196707 TUU196705:TUU196707 UEQ196705:UEQ196707 UOM196705:UOM196707 UYI196705:UYI196707 VIE196705:VIE196707 VSA196705:VSA196707 WBW196705:WBW196707 WLS196705:WLS196707 WVO196705:WVO196707 G262241:G262243 JC262241:JC262243 SY262241:SY262243 ACU262241:ACU262243 AMQ262241:AMQ262243 AWM262241:AWM262243 BGI262241:BGI262243 BQE262241:BQE262243 CAA262241:CAA262243 CJW262241:CJW262243 CTS262241:CTS262243 DDO262241:DDO262243 DNK262241:DNK262243 DXG262241:DXG262243 EHC262241:EHC262243 EQY262241:EQY262243 FAU262241:FAU262243 FKQ262241:FKQ262243 FUM262241:FUM262243 GEI262241:GEI262243 GOE262241:GOE262243 GYA262241:GYA262243 HHW262241:HHW262243 HRS262241:HRS262243 IBO262241:IBO262243 ILK262241:ILK262243 IVG262241:IVG262243 JFC262241:JFC262243 JOY262241:JOY262243 JYU262241:JYU262243 KIQ262241:KIQ262243 KSM262241:KSM262243 LCI262241:LCI262243 LME262241:LME262243 LWA262241:LWA262243 MFW262241:MFW262243 MPS262241:MPS262243 MZO262241:MZO262243 NJK262241:NJK262243 NTG262241:NTG262243 ODC262241:ODC262243 OMY262241:OMY262243 OWU262241:OWU262243 PGQ262241:PGQ262243 PQM262241:PQM262243 QAI262241:QAI262243 QKE262241:QKE262243 QUA262241:QUA262243 RDW262241:RDW262243 RNS262241:RNS262243 RXO262241:RXO262243 SHK262241:SHK262243 SRG262241:SRG262243 TBC262241:TBC262243 TKY262241:TKY262243 TUU262241:TUU262243 UEQ262241:UEQ262243 UOM262241:UOM262243 UYI262241:UYI262243 VIE262241:VIE262243 VSA262241:VSA262243 WBW262241:WBW262243 WLS262241:WLS262243 WVO262241:WVO262243 G327777:G327779 JC327777:JC327779 SY327777:SY327779 ACU327777:ACU327779 AMQ327777:AMQ327779 AWM327777:AWM327779 BGI327777:BGI327779 BQE327777:BQE327779 CAA327777:CAA327779 CJW327777:CJW327779 CTS327777:CTS327779 DDO327777:DDO327779 DNK327777:DNK327779 DXG327777:DXG327779 EHC327777:EHC327779 EQY327777:EQY327779 FAU327777:FAU327779 FKQ327777:FKQ327779 FUM327777:FUM327779 GEI327777:GEI327779 GOE327777:GOE327779 GYA327777:GYA327779 HHW327777:HHW327779 HRS327777:HRS327779 IBO327777:IBO327779 ILK327777:ILK327779 IVG327777:IVG327779 JFC327777:JFC327779 JOY327777:JOY327779 JYU327777:JYU327779 KIQ327777:KIQ327779 KSM327777:KSM327779 LCI327777:LCI327779 LME327777:LME327779 LWA327777:LWA327779 MFW327777:MFW327779 MPS327777:MPS327779 MZO327777:MZO327779 NJK327777:NJK327779 NTG327777:NTG327779 ODC327777:ODC327779 OMY327777:OMY327779 OWU327777:OWU327779 PGQ327777:PGQ327779 PQM327777:PQM327779 QAI327777:QAI327779 QKE327777:QKE327779 QUA327777:QUA327779 RDW327777:RDW327779 RNS327777:RNS327779 RXO327777:RXO327779 SHK327777:SHK327779 SRG327777:SRG327779 TBC327777:TBC327779 TKY327777:TKY327779 TUU327777:TUU327779 UEQ327777:UEQ327779 UOM327777:UOM327779 UYI327777:UYI327779 VIE327777:VIE327779 VSA327777:VSA327779 WBW327777:WBW327779 WLS327777:WLS327779 WVO327777:WVO327779 G393313:G393315 JC393313:JC393315 SY393313:SY393315 ACU393313:ACU393315 AMQ393313:AMQ393315 AWM393313:AWM393315 BGI393313:BGI393315 BQE393313:BQE393315 CAA393313:CAA393315 CJW393313:CJW393315 CTS393313:CTS393315 DDO393313:DDO393315 DNK393313:DNK393315 DXG393313:DXG393315 EHC393313:EHC393315 EQY393313:EQY393315 FAU393313:FAU393315 FKQ393313:FKQ393315 FUM393313:FUM393315 GEI393313:GEI393315 GOE393313:GOE393315 GYA393313:GYA393315 HHW393313:HHW393315 HRS393313:HRS393315 IBO393313:IBO393315 ILK393313:ILK393315 IVG393313:IVG393315 JFC393313:JFC393315 JOY393313:JOY393315 JYU393313:JYU393315 KIQ393313:KIQ393315 KSM393313:KSM393315 LCI393313:LCI393315 LME393313:LME393315 LWA393313:LWA393315 MFW393313:MFW393315 MPS393313:MPS393315 MZO393313:MZO393315 NJK393313:NJK393315 NTG393313:NTG393315 ODC393313:ODC393315 OMY393313:OMY393315 OWU393313:OWU393315 PGQ393313:PGQ393315 PQM393313:PQM393315 QAI393313:QAI393315 QKE393313:QKE393315 QUA393313:QUA393315 RDW393313:RDW393315 RNS393313:RNS393315 RXO393313:RXO393315 SHK393313:SHK393315 SRG393313:SRG393315 TBC393313:TBC393315 TKY393313:TKY393315 TUU393313:TUU393315 UEQ393313:UEQ393315 UOM393313:UOM393315 UYI393313:UYI393315 VIE393313:VIE393315 VSA393313:VSA393315 WBW393313:WBW393315 WLS393313:WLS393315 WVO393313:WVO393315 G458849:G458851 JC458849:JC458851 SY458849:SY458851 ACU458849:ACU458851 AMQ458849:AMQ458851 AWM458849:AWM458851 BGI458849:BGI458851 BQE458849:BQE458851 CAA458849:CAA458851 CJW458849:CJW458851 CTS458849:CTS458851 DDO458849:DDO458851 DNK458849:DNK458851 DXG458849:DXG458851 EHC458849:EHC458851 EQY458849:EQY458851 FAU458849:FAU458851 FKQ458849:FKQ458851 FUM458849:FUM458851 GEI458849:GEI458851 GOE458849:GOE458851 GYA458849:GYA458851 HHW458849:HHW458851 HRS458849:HRS458851 IBO458849:IBO458851 ILK458849:ILK458851 IVG458849:IVG458851 JFC458849:JFC458851 JOY458849:JOY458851 JYU458849:JYU458851 KIQ458849:KIQ458851 KSM458849:KSM458851 LCI458849:LCI458851 LME458849:LME458851 LWA458849:LWA458851 MFW458849:MFW458851 MPS458849:MPS458851 MZO458849:MZO458851 NJK458849:NJK458851 NTG458849:NTG458851 ODC458849:ODC458851 OMY458849:OMY458851 OWU458849:OWU458851 PGQ458849:PGQ458851 PQM458849:PQM458851 QAI458849:QAI458851 QKE458849:QKE458851 QUA458849:QUA458851 RDW458849:RDW458851 RNS458849:RNS458851 RXO458849:RXO458851 SHK458849:SHK458851 SRG458849:SRG458851 TBC458849:TBC458851 TKY458849:TKY458851 TUU458849:TUU458851 UEQ458849:UEQ458851 UOM458849:UOM458851 UYI458849:UYI458851 VIE458849:VIE458851 VSA458849:VSA458851 WBW458849:WBW458851 WLS458849:WLS458851 WVO458849:WVO458851 G524385:G524387 JC524385:JC524387 SY524385:SY524387 ACU524385:ACU524387 AMQ524385:AMQ524387 AWM524385:AWM524387 BGI524385:BGI524387 BQE524385:BQE524387 CAA524385:CAA524387 CJW524385:CJW524387 CTS524385:CTS524387 DDO524385:DDO524387 DNK524385:DNK524387 DXG524385:DXG524387 EHC524385:EHC524387 EQY524385:EQY524387 FAU524385:FAU524387 FKQ524385:FKQ524387 FUM524385:FUM524387 GEI524385:GEI524387 GOE524385:GOE524387 GYA524385:GYA524387 HHW524385:HHW524387 HRS524385:HRS524387 IBO524385:IBO524387 ILK524385:ILK524387 IVG524385:IVG524387 JFC524385:JFC524387 JOY524385:JOY524387 JYU524385:JYU524387 KIQ524385:KIQ524387 KSM524385:KSM524387 LCI524385:LCI524387 LME524385:LME524387 LWA524385:LWA524387 MFW524385:MFW524387 MPS524385:MPS524387 MZO524385:MZO524387 NJK524385:NJK524387 NTG524385:NTG524387 ODC524385:ODC524387 OMY524385:OMY524387 OWU524385:OWU524387 PGQ524385:PGQ524387 PQM524385:PQM524387 QAI524385:QAI524387 QKE524385:QKE524387 QUA524385:QUA524387 RDW524385:RDW524387 RNS524385:RNS524387 RXO524385:RXO524387 SHK524385:SHK524387 SRG524385:SRG524387 TBC524385:TBC524387 TKY524385:TKY524387 TUU524385:TUU524387 UEQ524385:UEQ524387 UOM524385:UOM524387 UYI524385:UYI524387 VIE524385:VIE524387 VSA524385:VSA524387 WBW524385:WBW524387 WLS524385:WLS524387 WVO524385:WVO524387 G589921:G589923 JC589921:JC589923 SY589921:SY589923 ACU589921:ACU589923 AMQ589921:AMQ589923 AWM589921:AWM589923 BGI589921:BGI589923 BQE589921:BQE589923 CAA589921:CAA589923 CJW589921:CJW589923 CTS589921:CTS589923 DDO589921:DDO589923 DNK589921:DNK589923 DXG589921:DXG589923 EHC589921:EHC589923 EQY589921:EQY589923 FAU589921:FAU589923 FKQ589921:FKQ589923 FUM589921:FUM589923 GEI589921:GEI589923 GOE589921:GOE589923 GYA589921:GYA589923 HHW589921:HHW589923 HRS589921:HRS589923 IBO589921:IBO589923 ILK589921:ILK589923 IVG589921:IVG589923 JFC589921:JFC589923 JOY589921:JOY589923 JYU589921:JYU589923 KIQ589921:KIQ589923 KSM589921:KSM589923 LCI589921:LCI589923 LME589921:LME589923 LWA589921:LWA589923 MFW589921:MFW589923 MPS589921:MPS589923 MZO589921:MZO589923 NJK589921:NJK589923 NTG589921:NTG589923 ODC589921:ODC589923 OMY589921:OMY589923 OWU589921:OWU589923 PGQ589921:PGQ589923 PQM589921:PQM589923 QAI589921:QAI589923 QKE589921:QKE589923 QUA589921:QUA589923 RDW589921:RDW589923 RNS589921:RNS589923 RXO589921:RXO589923 SHK589921:SHK589923 SRG589921:SRG589923 TBC589921:TBC589923 TKY589921:TKY589923 TUU589921:TUU589923 UEQ589921:UEQ589923 UOM589921:UOM589923 UYI589921:UYI589923 VIE589921:VIE589923 VSA589921:VSA589923 WBW589921:WBW589923 WLS589921:WLS589923 WVO589921:WVO589923 G655457:G655459 JC655457:JC655459 SY655457:SY655459 ACU655457:ACU655459 AMQ655457:AMQ655459 AWM655457:AWM655459 BGI655457:BGI655459 BQE655457:BQE655459 CAA655457:CAA655459 CJW655457:CJW655459 CTS655457:CTS655459 DDO655457:DDO655459 DNK655457:DNK655459 DXG655457:DXG655459 EHC655457:EHC655459 EQY655457:EQY655459 FAU655457:FAU655459 FKQ655457:FKQ655459 FUM655457:FUM655459 GEI655457:GEI655459 GOE655457:GOE655459 GYA655457:GYA655459 HHW655457:HHW655459 HRS655457:HRS655459 IBO655457:IBO655459 ILK655457:ILK655459 IVG655457:IVG655459 JFC655457:JFC655459 JOY655457:JOY655459 JYU655457:JYU655459 KIQ655457:KIQ655459 KSM655457:KSM655459 LCI655457:LCI655459 LME655457:LME655459 LWA655457:LWA655459 MFW655457:MFW655459 MPS655457:MPS655459 MZO655457:MZO655459 NJK655457:NJK655459 NTG655457:NTG655459 ODC655457:ODC655459 OMY655457:OMY655459 OWU655457:OWU655459 PGQ655457:PGQ655459 PQM655457:PQM655459 QAI655457:QAI655459 QKE655457:QKE655459 QUA655457:QUA655459 RDW655457:RDW655459 RNS655457:RNS655459 RXO655457:RXO655459 SHK655457:SHK655459 SRG655457:SRG655459 TBC655457:TBC655459 TKY655457:TKY655459 TUU655457:TUU655459 UEQ655457:UEQ655459 UOM655457:UOM655459 UYI655457:UYI655459 VIE655457:VIE655459 VSA655457:VSA655459 WBW655457:WBW655459 WLS655457:WLS655459 WVO655457:WVO655459 G720993:G720995 JC720993:JC720995 SY720993:SY720995 ACU720993:ACU720995 AMQ720993:AMQ720995 AWM720993:AWM720995 BGI720993:BGI720995 BQE720993:BQE720995 CAA720993:CAA720995 CJW720993:CJW720995 CTS720993:CTS720995 DDO720993:DDO720995 DNK720993:DNK720995 DXG720993:DXG720995 EHC720993:EHC720995 EQY720993:EQY720995 FAU720993:FAU720995 FKQ720993:FKQ720995 FUM720993:FUM720995 GEI720993:GEI720995 GOE720993:GOE720995 GYA720993:GYA720995 HHW720993:HHW720995 HRS720993:HRS720995 IBO720993:IBO720995 ILK720993:ILK720995 IVG720993:IVG720995 JFC720993:JFC720995 JOY720993:JOY720995 JYU720993:JYU720995 KIQ720993:KIQ720995 KSM720993:KSM720995 LCI720993:LCI720995 LME720993:LME720995 LWA720993:LWA720995 MFW720993:MFW720995 MPS720993:MPS720995 MZO720993:MZO720995 NJK720993:NJK720995 NTG720993:NTG720995 ODC720993:ODC720995 OMY720993:OMY720995 OWU720993:OWU720995 PGQ720993:PGQ720995 PQM720993:PQM720995 QAI720993:QAI720995 QKE720993:QKE720995 QUA720993:QUA720995 RDW720993:RDW720995 RNS720993:RNS720995 RXO720993:RXO720995 SHK720993:SHK720995 SRG720993:SRG720995 TBC720993:TBC720995 TKY720993:TKY720995 TUU720993:TUU720995 UEQ720993:UEQ720995 UOM720993:UOM720995 UYI720993:UYI720995 VIE720993:VIE720995 VSA720993:VSA720995 WBW720993:WBW720995 WLS720993:WLS720995 WVO720993:WVO720995 G786529:G786531 JC786529:JC786531 SY786529:SY786531 ACU786529:ACU786531 AMQ786529:AMQ786531 AWM786529:AWM786531 BGI786529:BGI786531 BQE786529:BQE786531 CAA786529:CAA786531 CJW786529:CJW786531 CTS786529:CTS786531 DDO786529:DDO786531 DNK786529:DNK786531 DXG786529:DXG786531 EHC786529:EHC786531 EQY786529:EQY786531 FAU786529:FAU786531 FKQ786529:FKQ786531 FUM786529:FUM786531 GEI786529:GEI786531 GOE786529:GOE786531 GYA786529:GYA786531 HHW786529:HHW786531 HRS786529:HRS786531 IBO786529:IBO786531 ILK786529:ILK786531 IVG786529:IVG786531 JFC786529:JFC786531 JOY786529:JOY786531 JYU786529:JYU786531 KIQ786529:KIQ786531 KSM786529:KSM786531 LCI786529:LCI786531 LME786529:LME786531 LWA786529:LWA786531 MFW786529:MFW786531 MPS786529:MPS786531 MZO786529:MZO786531 NJK786529:NJK786531 NTG786529:NTG786531 ODC786529:ODC786531 OMY786529:OMY786531 OWU786529:OWU786531 PGQ786529:PGQ786531 PQM786529:PQM786531 QAI786529:QAI786531 QKE786529:QKE786531 QUA786529:QUA786531 RDW786529:RDW786531 RNS786529:RNS786531 RXO786529:RXO786531 SHK786529:SHK786531 SRG786529:SRG786531 TBC786529:TBC786531 TKY786529:TKY786531 TUU786529:TUU786531 UEQ786529:UEQ786531 UOM786529:UOM786531 UYI786529:UYI786531 VIE786529:VIE786531 VSA786529:VSA786531 WBW786529:WBW786531 WLS786529:WLS786531 WVO786529:WVO786531 G852065:G852067 JC852065:JC852067 SY852065:SY852067 ACU852065:ACU852067 AMQ852065:AMQ852067 AWM852065:AWM852067 BGI852065:BGI852067 BQE852065:BQE852067 CAA852065:CAA852067 CJW852065:CJW852067 CTS852065:CTS852067 DDO852065:DDO852067 DNK852065:DNK852067 DXG852065:DXG852067 EHC852065:EHC852067 EQY852065:EQY852067 FAU852065:FAU852067 FKQ852065:FKQ852067 FUM852065:FUM852067 GEI852065:GEI852067 GOE852065:GOE852067 GYA852065:GYA852067 HHW852065:HHW852067 HRS852065:HRS852067 IBO852065:IBO852067 ILK852065:ILK852067 IVG852065:IVG852067 JFC852065:JFC852067 JOY852065:JOY852067 JYU852065:JYU852067 KIQ852065:KIQ852067 KSM852065:KSM852067 LCI852065:LCI852067 LME852065:LME852067 LWA852065:LWA852067 MFW852065:MFW852067 MPS852065:MPS852067 MZO852065:MZO852067 NJK852065:NJK852067 NTG852065:NTG852067 ODC852065:ODC852067 OMY852065:OMY852067 OWU852065:OWU852067 PGQ852065:PGQ852067 PQM852065:PQM852067 QAI852065:QAI852067 QKE852065:QKE852067 QUA852065:QUA852067 RDW852065:RDW852067 RNS852065:RNS852067 RXO852065:RXO852067 SHK852065:SHK852067 SRG852065:SRG852067 TBC852065:TBC852067 TKY852065:TKY852067 TUU852065:TUU852067 UEQ852065:UEQ852067 UOM852065:UOM852067 UYI852065:UYI852067 VIE852065:VIE852067 VSA852065:VSA852067 WBW852065:WBW852067 WLS852065:WLS852067 WVO852065:WVO852067 G917601:G917603 JC917601:JC917603 SY917601:SY917603 ACU917601:ACU917603 AMQ917601:AMQ917603 AWM917601:AWM917603 BGI917601:BGI917603 BQE917601:BQE917603 CAA917601:CAA917603 CJW917601:CJW917603 CTS917601:CTS917603 DDO917601:DDO917603 DNK917601:DNK917603 DXG917601:DXG917603 EHC917601:EHC917603 EQY917601:EQY917603 FAU917601:FAU917603 FKQ917601:FKQ917603 FUM917601:FUM917603 GEI917601:GEI917603 GOE917601:GOE917603 GYA917601:GYA917603 HHW917601:HHW917603 HRS917601:HRS917603 IBO917601:IBO917603 ILK917601:ILK917603 IVG917601:IVG917603 JFC917601:JFC917603 JOY917601:JOY917603 JYU917601:JYU917603 KIQ917601:KIQ917603 KSM917601:KSM917603 LCI917601:LCI917603 LME917601:LME917603 LWA917601:LWA917603 MFW917601:MFW917603 MPS917601:MPS917603 MZO917601:MZO917603 NJK917601:NJK917603 NTG917601:NTG917603 ODC917601:ODC917603 OMY917601:OMY917603 OWU917601:OWU917603 PGQ917601:PGQ917603 PQM917601:PQM917603 QAI917601:QAI917603 QKE917601:QKE917603 QUA917601:QUA917603 RDW917601:RDW917603 RNS917601:RNS917603 RXO917601:RXO917603 SHK917601:SHK917603 SRG917601:SRG917603 TBC917601:TBC917603 TKY917601:TKY917603 TUU917601:TUU917603 UEQ917601:UEQ917603 UOM917601:UOM917603 UYI917601:UYI917603 VIE917601:VIE917603 VSA917601:VSA917603 WBW917601:WBW917603 WLS917601:WLS917603 WVO917601:WVO917603 G983137:G983139 JC983137:JC983139 SY983137:SY983139 ACU983137:ACU983139 AMQ983137:AMQ983139 AWM983137:AWM983139 BGI983137:BGI983139 BQE983137:BQE983139 CAA983137:CAA983139 CJW983137:CJW983139 CTS983137:CTS983139 DDO983137:DDO983139 DNK983137:DNK983139 DXG983137:DXG983139 EHC983137:EHC983139 EQY983137:EQY983139 FAU983137:FAU983139 FKQ983137:FKQ983139 FUM983137:FUM983139 GEI983137:GEI983139 GOE983137:GOE983139 GYA983137:GYA983139 HHW983137:HHW983139 HRS983137:HRS983139 IBO983137:IBO983139 ILK983137:ILK983139 IVG983137:IVG983139 JFC983137:JFC983139 JOY983137:JOY983139 JYU983137:JYU983139 KIQ983137:KIQ983139 KSM983137:KSM983139 LCI983137:LCI983139 LME983137:LME983139 LWA983137:LWA983139 MFW983137:MFW983139 MPS983137:MPS983139 MZO983137:MZO983139 NJK983137:NJK983139 NTG983137:NTG983139 ODC983137:ODC983139 OMY983137:OMY983139 OWU983137:OWU983139 PGQ983137:PGQ983139 PQM983137:PQM983139 QAI983137:QAI983139 QKE983137:QKE983139 QUA983137:QUA983139 RDW983137:RDW983139 RNS983137:RNS983139 RXO983137:RXO983139 SHK983137:SHK983139 SRG983137:SRG983139 TBC983137:TBC983139 TKY983137:TKY983139 TUU983137:TUU983139 UEQ983137:UEQ983139 UOM983137:UOM983139 UYI983137:UYI983139 VIE983137:VIE983139 VSA983137:VSA983139 WBW983137:WBW983139 WLS983137:WLS983139 WVO983137:WVO983139 G8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G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G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G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G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G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G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G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G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G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G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G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G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G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G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G70 JC70 SY70 ACU70 AMQ70 AWM70 BGI70 BQE70 CAA70 CJW70 CTS70 DDO70 DNK70 DXG70 EHC70 EQY70 FAU70 FKQ70 FUM70 GEI70 GOE70 GYA70 HHW70 HRS70 IBO70 ILK70 IVG70 JFC70 JOY70 JYU70 KIQ70 KSM70 LCI70 LME70 LWA70 MFW70 MPS70 MZO70 NJK70 NTG70 ODC70 OMY70 OWU70 PGQ70 PQM70 QAI70 QKE70 QUA70 RDW70 RNS70 RXO70 SHK70 SRG70 TBC70 TKY70 TUU70 UEQ70 UOM70 UYI70 VIE70 VSA70 WBW70 WLS70 WVO70 G65606 JC65606 SY65606 ACU65606 AMQ65606 AWM65606 BGI65606 BQE65606 CAA65606 CJW65606 CTS65606 DDO65606 DNK65606 DXG65606 EHC65606 EQY65606 FAU65606 FKQ65606 FUM65606 GEI65606 GOE65606 GYA65606 HHW65606 HRS65606 IBO65606 ILK65606 IVG65606 JFC65606 JOY65606 JYU65606 KIQ65606 KSM65606 LCI65606 LME65606 LWA65606 MFW65606 MPS65606 MZO65606 NJK65606 NTG65606 ODC65606 OMY65606 OWU65606 PGQ65606 PQM65606 QAI65606 QKE65606 QUA65606 RDW65606 RNS65606 RXO65606 SHK65606 SRG65606 TBC65606 TKY65606 TUU65606 UEQ65606 UOM65606 UYI65606 VIE65606 VSA65606 WBW65606 WLS65606 WVO65606 G131142 JC131142 SY131142 ACU131142 AMQ131142 AWM131142 BGI131142 BQE131142 CAA131142 CJW131142 CTS131142 DDO131142 DNK131142 DXG131142 EHC131142 EQY131142 FAU131142 FKQ131142 FUM131142 GEI131142 GOE131142 GYA131142 HHW131142 HRS131142 IBO131142 ILK131142 IVG131142 JFC131142 JOY131142 JYU131142 KIQ131142 KSM131142 LCI131142 LME131142 LWA131142 MFW131142 MPS131142 MZO131142 NJK131142 NTG131142 ODC131142 OMY131142 OWU131142 PGQ131142 PQM131142 QAI131142 QKE131142 QUA131142 RDW131142 RNS131142 RXO131142 SHK131142 SRG131142 TBC131142 TKY131142 TUU131142 UEQ131142 UOM131142 UYI131142 VIE131142 VSA131142 WBW131142 WLS131142 WVO131142 G196678 JC196678 SY196678 ACU196678 AMQ196678 AWM196678 BGI196678 BQE196678 CAA196678 CJW196678 CTS196678 DDO196678 DNK196678 DXG196678 EHC196678 EQY196678 FAU196678 FKQ196678 FUM196678 GEI196678 GOE196678 GYA196678 HHW196678 HRS196678 IBO196678 ILK196678 IVG196678 JFC196678 JOY196678 JYU196678 KIQ196678 KSM196678 LCI196678 LME196678 LWA196678 MFW196678 MPS196678 MZO196678 NJK196678 NTG196678 ODC196678 OMY196678 OWU196678 PGQ196678 PQM196678 QAI196678 QKE196678 QUA196678 RDW196678 RNS196678 RXO196678 SHK196678 SRG196678 TBC196678 TKY196678 TUU196678 UEQ196678 UOM196678 UYI196678 VIE196678 VSA196678 WBW196678 WLS196678 WVO196678 G262214 JC262214 SY262214 ACU262214 AMQ262214 AWM262214 BGI262214 BQE262214 CAA262214 CJW262214 CTS262214 DDO262214 DNK262214 DXG262214 EHC262214 EQY262214 FAU262214 FKQ262214 FUM262214 GEI262214 GOE262214 GYA262214 HHW262214 HRS262214 IBO262214 ILK262214 IVG262214 JFC262214 JOY262214 JYU262214 KIQ262214 KSM262214 LCI262214 LME262214 LWA262214 MFW262214 MPS262214 MZO262214 NJK262214 NTG262214 ODC262214 OMY262214 OWU262214 PGQ262214 PQM262214 QAI262214 QKE262214 QUA262214 RDW262214 RNS262214 RXO262214 SHK262214 SRG262214 TBC262214 TKY262214 TUU262214 UEQ262214 UOM262214 UYI262214 VIE262214 VSA262214 WBW262214 WLS262214 WVO262214 G327750 JC327750 SY327750 ACU327750 AMQ327750 AWM327750 BGI327750 BQE327750 CAA327750 CJW327750 CTS327750 DDO327750 DNK327750 DXG327750 EHC327750 EQY327750 FAU327750 FKQ327750 FUM327750 GEI327750 GOE327750 GYA327750 HHW327750 HRS327750 IBO327750 ILK327750 IVG327750 JFC327750 JOY327750 JYU327750 KIQ327750 KSM327750 LCI327750 LME327750 LWA327750 MFW327750 MPS327750 MZO327750 NJK327750 NTG327750 ODC327750 OMY327750 OWU327750 PGQ327750 PQM327750 QAI327750 QKE327750 QUA327750 RDW327750 RNS327750 RXO327750 SHK327750 SRG327750 TBC327750 TKY327750 TUU327750 UEQ327750 UOM327750 UYI327750 VIE327750 VSA327750 WBW327750 WLS327750 WVO327750 G393286 JC393286 SY393286 ACU393286 AMQ393286 AWM393286 BGI393286 BQE393286 CAA393286 CJW393286 CTS393286 DDO393286 DNK393286 DXG393286 EHC393286 EQY393286 FAU393286 FKQ393286 FUM393286 GEI393286 GOE393286 GYA393286 HHW393286 HRS393286 IBO393286 ILK393286 IVG393286 JFC393286 JOY393286 JYU393286 KIQ393286 KSM393286 LCI393286 LME393286 LWA393286 MFW393286 MPS393286 MZO393286 NJK393286 NTG393286 ODC393286 OMY393286 OWU393286 PGQ393286 PQM393286 QAI393286 QKE393286 QUA393286 RDW393286 RNS393286 RXO393286 SHK393286 SRG393286 TBC393286 TKY393286 TUU393286 UEQ393286 UOM393286 UYI393286 VIE393286 VSA393286 WBW393286 WLS393286 WVO393286 G458822 JC458822 SY458822 ACU458822 AMQ458822 AWM458822 BGI458822 BQE458822 CAA458822 CJW458822 CTS458822 DDO458822 DNK458822 DXG458822 EHC458822 EQY458822 FAU458822 FKQ458822 FUM458822 GEI458822 GOE458822 GYA458822 HHW458822 HRS458822 IBO458822 ILK458822 IVG458822 JFC458822 JOY458822 JYU458822 KIQ458822 KSM458822 LCI458822 LME458822 LWA458822 MFW458822 MPS458822 MZO458822 NJK458822 NTG458822 ODC458822 OMY458822 OWU458822 PGQ458822 PQM458822 QAI458822 QKE458822 QUA458822 RDW458822 RNS458822 RXO458822 SHK458822 SRG458822 TBC458822 TKY458822 TUU458822 UEQ458822 UOM458822 UYI458822 VIE458822 VSA458822 WBW458822 WLS458822 WVO458822 G524358 JC524358 SY524358 ACU524358 AMQ524358 AWM524358 BGI524358 BQE524358 CAA524358 CJW524358 CTS524358 DDO524358 DNK524358 DXG524358 EHC524358 EQY524358 FAU524358 FKQ524358 FUM524358 GEI524358 GOE524358 GYA524358 HHW524358 HRS524358 IBO524358 ILK524358 IVG524358 JFC524358 JOY524358 JYU524358 KIQ524358 KSM524358 LCI524358 LME524358 LWA524358 MFW524358 MPS524358 MZO524358 NJK524358 NTG524358 ODC524358 OMY524358 OWU524358 PGQ524358 PQM524358 QAI524358 QKE524358 QUA524358 RDW524358 RNS524358 RXO524358 SHK524358 SRG524358 TBC524358 TKY524358 TUU524358 UEQ524358 UOM524358 UYI524358 VIE524358 VSA524358 WBW524358 WLS524358 WVO524358 G589894 JC589894 SY589894 ACU589894 AMQ589894 AWM589894 BGI589894 BQE589894 CAA589894 CJW589894 CTS589894 DDO589894 DNK589894 DXG589894 EHC589894 EQY589894 FAU589894 FKQ589894 FUM589894 GEI589894 GOE589894 GYA589894 HHW589894 HRS589894 IBO589894 ILK589894 IVG589894 JFC589894 JOY589894 JYU589894 KIQ589894 KSM589894 LCI589894 LME589894 LWA589894 MFW589894 MPS589894 MZO589894 NJK589894 NTG589894 ODC589894 OMY589894 OWU589894 PGQ589894 PQM589894 QAI589894 QKE589894 QUA589894 RDW589894 RNS589894 RXO589894 SHK589894 SRG589894 TBC589894 TKY589894 TUU589894 UEQ589894 UOM589894 UYI589894 VIE589894 VSA589894 WBW589894 WLS589894 WVO589894 G655430 JC655430 SY655430 ACU655430 AMQ655430 AWM655430 BGI655430 BQE655430 CAA655430 CJW655430 CTS655430 DDO655430 DNK655430 DXG655430 EHC655430 EQY655430 FAU655430 FKQ655430 FUM655430 GEI655430 GOE655430 GYA655430 HHW655430 HRS655430 IBO655430 ILK655430 IVG655430 JFC655430 JOY655430 JYU655430 KIQ655430 KSM655430 LCI655430 LME655430 LWA655430 MFW655430 MPS655430 MZO655430 NJK655430 NTG655430 ODC655430 OMY655430 OWU655430 PGQ655430 PQM655430 QAI655430 QKE655430 QUA655430 RDW655430 RNS655430 RXO655430 SHK655430 SRG655430 TBC655430 TKY655430 TUU655430 UEQ655430 UOM655430 UYI655430 VIE655430 VSA655430 WBW655430 WLS655430 WVO655430 G720966 JC720966 SY720966 ACU720966 AMQ720966 AWM720966 BGI720966 BQE720966 CAA720966 CJW720966 CTS720966 DDO720966 DNK720966 DXG720966 EHC720966 EQY720966 FAU720966 FKQ720966 FUM720966 GEI720966 GOE720966 GYA720966 HHW720966 HRS720966 IBO720966 ILK720966 IVG720966 JFC720966 JOY720966 JYU720966 KIQ720966 KSM720966 LCI720966 LME720966 LWA720966 MFW720966 MPS720966 MZO720966 NJK720966 NTG720966 ODC720966 OMY720966 OWU720966 PGQ720966 PQM720966 QAI720966 QKE720966 QUA720966 RDW720966 RNS720966 RXO720966 SHK720966 SRG720966 TBC720966 TKY720966 TUU720966 UEQ720966 UOM720966 UYI720966 VIE720966 VSA720966 WBW720966 WLS720966 WVO720966 G786502 JC786502 SY786502 ACU786502 AMQ786502 AWM786502 BGI786502 BQE786502 CAA786502 CJW786502 CTS786502 DDO786502 DNK786502 DXG786502 EHC786502 EQY786502 FAU786502 FKQ786502 FUM786502 GEI786502 GOE786502 GYA786502 HHW786502 HRS786502 IBO786502 ILK786502 IVG786502 JFC786502 JOY786502 JYU786502 KIQ786502 KSM786502 LCI786502 LME786502 LWA786502 MFW786502 MPS786502 MZO786502 NJK786502 NTG786502 ODC786502 OMY786502 OWU786502 PGQ786502 PQM786502 QAI786502 QKE786502 QUA786502 RDW786502 RNS786502 RXO786502 SHK786502 SRG786502 TBC786502 TKY786502 TUU786502 UEQ786502 UOM786502 UYI786502 VIE786502 VSA786502 WBW786502 WLS786502 WVO786502 G852038 JC852038 SY852038 ACU852038 AMQ852038 AWM852038 BGI852038 BQE852038 CAA852038 CJW852038 CTS852038 DDO852038 DNK852038 DXG852038 EHC852038 EQY852038 FAU852038 FKQ852038 FUM852038 GEI852038 GOE852038 GYA852038 HHW852038 HRS852038 IBO852038 ILK852038 IVG852038 JFC852038 JOY852038 JYU852038 KIQ852038 KSM852038 LCI852038 LME852038 LWA852038 MFW852038 MPS852038 MZO852038 NJK852038 NTG852038 ODC852038 OMY852038 OWU852038 PGQ852038 PQM852038 QAI852038 QKE852038 QUA852038 RDW852038 RNS852038 RXO852038 SHK852038 SRG852038 TBC852038 TKY852038 TUU852038 UEQ852038 UOM852038 UYI852038 VIE852038 VSA852038 WBW852038 WLS852038 WVO852038 G917574 JC917574 SY917574 ACU917574 AMQ917574 AWM917574 BGI917574 BQE917574 CAA917574 CJW917574 CTS917574 DDO917574 DNK917574 DXG917574 EHC917574 EQY917574 FAU917574 FKQ917574 FUM917574 GEI917574 GOE917574 GYA917574 HHW917574 HRS917574 IBO917574 ILK917574 IVG917574 JFC917574 JOY917574 JYU917574 KIQ917574 KSM917574 LCI917574 LME917574 LWA917574 MFW917574 MPS917574 MZO917574 NJK917574 NTG917574 ODC917574 OMY917574 OWU917574 PGQ917574 PQM917574 QAI917574 QKE917574 QUA917574 RDW917574 RNS917574 RXO917574 SHK917574 SRG917574 TBC917574 TKY917574 TUU917574 UEQ917574 UOM917574 UYI917574 VIE917574 VSA917574 WBW917574 WLS917574 WVO917574 G983110 JC983110 SY983110 ACU983110 AMQ983110 AWM983110 BGI983110 BQE983110 CAA983110 CJW983110 CTS983110 DDO983110 DNK983110 DXG983110 EHC983110 EQY983110 FAU983110 FKQ983110 FUM983110 GEI983110 GOE983110 GYA983110 HHW983110 HRS983110 IBO983110 ILK983110 IVG983110 JFC983110 JOY983110 JYU983110 KIQ983110 KSM983110 LCI983110 LME983110 LWA983110 MFW983110 MPS983110 MZO983110 NJK983110 NTG983110 ODC983110 OMY983110 OWU983110 PGQ983110 PQM983110 QAI983110 QKE983110 QUA983110 RDW983110 RNS983110 RXO983110 SHK983110 SRG983110 TBC983110 TKY983110 TUU983110 UEQ983110 UOM983110 UYI983110 VIE983110 VSA983110 WBW983110 WLS983110 WVO983110">
      <formula1>VIÁTICOS</formula1>
    </dataValidation>
    <dataValidation type="list" allowBlank="1" showInputMessage="1" showErrorMessage="1" sqref="F6:F98 JB6:JB98 SX6:SX98 ACT6:ACT98 AMP6:AMP98 AWL6:AWL98 BGH6:BGH98 BQD6:BQD98 BZZ6:BZZ98 CJV6:CJV98 CTR6:CTR98 DDN6:DDN98 DNJ6:DNJ98 DXF6:DXF98 EHB6:EHB98 EQX6:EQX98 FAT6:FAT98 FKP6:FKP98 FUL6:FUL98 GEH6:GEH98 GOD6:GOD98 GXZ6:GXZ98 HHV6:HHV98 HRR6:HRR98 IBN6:IBN98 ILJ6:ILJ98 IVF6:IVF98 JFB6:JFB98 JOX6:JOX98 JYT6:JYT98 KIP6:KIP98 KSL6:KSL98 LCH6:LCH98 LMD6:LMD98 LVZ6:LVZ98 MFV6:MFV98 MPR6:MPR98 MZN6:MZN98 NJJ6:NJJ98 NTF6:NTF98 ODB6:ODB98 OMX6:OMX98 OWT6:OWT98 PGP6:PGP98 PQL6:PQL98 QAH6:QAH98 QKD6:QKD98 QTZ6:QTZ98 RDV6:RDV98 RNR6:RNR98 RXN6:RXN98 SHJ6:SHJ98 SRF6:SRF98 TBB6:TBB98 TKX6:TKX98 TUT6:TUT98 UEP6:UEP98 UOL6:UOL98 UYH6:UYH98 VID6:VID98 VRZ6:VRZ98 WBV6:WBV98 WLR6:WLR98 WVN6:WVN98 F65542:F65634 JB65542:JB65634 SX65542:SX65634 ACT65542:ACT65634 AMP65542:AMP65634 AWL65542:AWL65634 BGH65542:BGH65634 BQD65542:BQD65634 BZZ65542:BZZ65634 CJV65542:CJV65634 CTR65542:CTR65634 DDN65542:DDN65634 DNJ65542:DNJ65634 DXF65542:DXF65634 EHB65542:EHB65634 EQX65542:EQX65634 FAT65542:FAT65634 FKP65542:FKP65634 FUL65542:FUL65634 GEH65542:GEH65634 GOD65542:GOD65634 GXZ65542:GXZ65634 HHV65542:HHV65634 HRR65542:HRR65634 IBN65542:IBN65634 ILJ65542:ILJ65634 IVF65542:IVF65634 JFB65542:JFB65634 JOX65542:JOX65634 JYT65542:JYT65634 KIP65542:KIP65634 KSL65542:KSL65634 LCH65542:LCH65634 LMD65542:LMD65634 LVZ65542:LVZ65634 MFV65542:MFV65634 MPR65542:MPR65634 MZN65542:MZN65634 NJJ65542:NJJ65634 NTF65542:NTF65634 ODB65542:ODB65634 OMX65542:OMX65634 OWT65542:OWT65634 PGP65542:PGP65634 PQL65542:PQL65634 QAH65542:QAH65634 QKD65542:QKD65634 QTZ65542:QTZ65634 RDV65542:RDV65634 RNR65542:RNR65634 RXN65542:RXN65634 SHJ65542:SHJ65634 SRF65542:SRF65634 TBB65542:TBB65634 TKX65542:TKX65634 TUT65542:TUT65634 UEP65542:UEP65634 UOL65542:UOL65634 UYH65542:UYH65634 VID65542:VID65634 VRZ65542:VRZ65634 WBV65542:WBV65634 WLR65542:WLR65634 WVN65542:WVN65634 F131078:F131170 JB131078:JB131170 SX131078:SX131170 ACT131078:ACT131170 AMP131078:AMP131170 AWL131078:AWL131170 BGH131078:BGH131170 BQD131078:BQD131170 BZZ131078:BZZ131170 CJV131078:CJV131170 CTR131078:CTR131170 DDN131078:DDN131170 DNJ131078:DNJ131170 DXF131078:DXF131170 EHB131078:EHB131170 EQX131078:EQX131170 FAT131078:FAT131170 FKP131078:FKP131170 FUL131078:FUL131170 GEH131078:GEH131170 GOD131078:GOD131170 GXZ131078:GXZ131170 HHV131078:HHV131170 HRR131078:HRR131170 IBN131078:IBN131170 ILJ131078:ILJ131170 IVF131078:IVF131170 JFB131078:JFB131170 JOX131078:JOX131170 JYT131078:JYT131170 KIP131078:KIP131170 KSL131078:KSL131170 LCH131078:LCH131170 LMD131078:LMD131170 LVZ131078:LVZ131170 MFV131078:MFV131170 MPR131078:MPR131170 MZN131078:MZN131170 NJJ131078:NJJ131170 NTF131078:NTF131170 ODB131078:ODB131170 OMX131078:OMX131170 OWT131078:OWT131170 PGP131078:PGP131170 PQL131078:PQL131170 QAH131078:QAH131170 QKD131078:QKD131170 QTZ131078:QTZ131170 RDV131078:RDV131170 RNR131078:RNR131170 RXN131078:RXN131170 SHJ131078:SHJ131170 SRF131078:SRF131170 TBB131078:TBB131170 TKX131078:TKX131170 TUT131078:TUT131170 UEP131078:UEP131170 UOL131078:UOL131170 UYH131078:UYH131170 VID131078:VID131170 VRZ131078:VRZ131170 WBV131078:WBV131170 WLR131078:WLR131170 WVN131078:WVN131170 F196614:F196706 JB196614:JB196706 SX196614:SX196706 ACT196614:ACT196706 AMP196614:AMP196706 AWL196614:AWL196706 BGH196614:BGH196706 BQD196614:BQD196706 BZZ196614:BZZ196706 CJV196614:CJV196706 CTR196614:CTR196706 DDN196614:DDN196706 DNJ196614:DNJ196706 DXF196614:DXF196706 EHB196614:EHB196706 EQX196614:EQX196706 FAT196614:FAT196706 FKP196614:FKP196706 FUL196614:FUL196706 GEH196614:GEH196706 GOD196614:GOD196706 GXZ196614:GXZ196706 HHV196614:HHV196706 HRR196614:HRR196706 IBN196614:IBN196706 ILJ196614:ILJ196706 IVF196614:IVF196706 JFB196614:JFB196706 JOX196614:JOX196706 JYT196614:JYT196706 KIP196614:KIP196706 KSL196614:KSL196706 LCH196614:LCH196706 LMD196614:LMD196706 LVZ196614:LVZ196706 MFV196614:MFV196706 MPR196614:MPR196706 MZN196614:MZN196706 NJJ196614:NJJ196706 NTF196614:NTF196706 ODB196614:ODB196706 OMX196614:OMX196706 OWT196614:OWT196706 PGP196614:PGP196706 PQL196614:PQL196706 QAH196614:QAH196706 QKD196614:QKD196706 QTZ196614:QTZ196706 RDV196614:RDV196706 RNR196614:RNR196706 RXN196614:RXN196706 SHJ196614:SHJ196706 SRF196614:SRF196706 TBB196614:TBB196706 TKX196614:TKX196706 TUT196614:TUT196706 UEP196614:UEP196706 UOL196614:UOL196706 UYH196614:UYH196706 VID196614:VID196706 VRZ196614:VRZ196706 WBV196614:WBV196706 WLR196614:WLR196706 WVN196614:WVN196706 F262150:F262242 JB262150:JB262242 SX262150:SX262242 ACT262150:ACT262242 AMP262150:AMP262242 AWL262150:AWL262242 BGH262150:BGH262242 BQD262150:BQD262242 BZZ262150:BZZ262242 CJV262150:CJV262242 CTR262150:CTR262242 DDN262150:DDN262242 DNJ262150:DNJ262242 DXF262150:DXF262242 EHB262150:EHB262242 EQX262150:EQX262242 FAT262150:FAT262242 FKP262150:FKP262242 FUL262150:FUL262242 GEH262150:GEH262242 GOD262150:GOD262242 GXZ262150:GXZ262242 HHV262150:HHV262242 HRR262150:HRR262242 IBN262150:IBN262242 ILJ262150:ILJ262242 IVF262150:IVF262242 JFB262150:JFB262242 JOX262150:JOX262242 JYT262150:JYT262242 KIP262150:KIP262242 KSL262150:KSL262242 LCH262150:LCH262242 LMD262150:LMD262242 LVZ262150:LVZ262242 MFV262150:MFV262242 MPR262150:MPR262242 MZN262150:MZN262242 NJJ262150:NJJ262242 NTF262150:NTF262242 ODB262150:ODB262242 OMX262150:OMX262242 OWT262150:OWT262242 PGP262150:PGP262242 PQL262150:PQL262242 QAH262150:QAH262242 QKD262150:QKD262242 QTZ262150:QTZ262242 RDV262150:RDV262242 RNR262150:RNR262242 RXN262150:RXN262242 SHJ262150:SHJ262242 SRF262150:SRF262242 TBB262150:TBB262242 TKX262150:TKX262242 TUT262150:TUT262242 UEP262150:UEP262242 UOL262150:UOL262242 UYH262150:UYH262242 VID262150:VID262242 VRZ262150:VRZ262242 WBV262150:WBV262242 WLR262150:WLR262242 WVN262150:WVN262242 F327686:F327778 JB327686:JB327778 SX327686:SX327778 ACT327686:ACT327778 AMP327686:AMP327778 AWL327686:AWL327778 BGH327686:BGH327778 BQD327686:BQD327778 BZZ327686:BZZ327778 CJV327686:CJV327778 CTR327686:CTR327778 DDN327686:DDN327778 DNJ327686:DNJ327778 DXF327686:DXF327778 EHB327686:EHB327778 EQX327686:EQX327778 FAT327686:FAT327778 FKP327686:FKP327778 FUL327686:FUL327778 GEH327686:GEH327778 GOD327686:GOD327778 GXZ327686:GXZ327778 HHV327686:HHV327778 HRR327686:HRR327778 IBN327686:IBN327778 ILJ327686:ILJ327778 IVF327686:IVF327778 JFB327686:JFB327778 JOX327686:JOX327778 JYT327686:JYT327778 KIP327686:KIP327778 KSL327686:KSL327778 LCH327686:LCH327778 LMD327686:LMD327778 LVZ327686:LVZ327778 MFV327686:MFV327778 MPR327686:MPR327778 MZN327686:MZN327778 NJJ327686:NJJ327778 NTF327686:NTF327778 ODB327686:ODB327778 OMX327686:OMX327778 OWT327686:OWT327778 PGP327686:PGP327778 PQL327686:PQL327778 QAH327686:QAH327778 QKD327686:QKD327778 QTZ327686:QTZ327778 RDV327686:RDV327778 RNR327686:RNR327778 RXN327686:RXN327778 SHJ327686:SHJ327778 SRF327686:SRF327778 TBB327686:TBB327778 TKX327686:TKX327778 TUT327686:TUT327778 UEP327686:UEP327778 UOL327686:UOL327778 UYH327686:UYH327778 VID327686:VID327778 VRZ327686:VRZ327778 WBV327686:WBV327778 WLR327686:WLR327778 WVN327686:WVN327778 F393222:F393314 JB393222:JB393314 SX393222:SX393314 ACT393222:ACT393314 AMP393222:AMP393314 AWL393222:AWL393314 BGH393222:BGH393314 BQD393222:BQD393314 BZZ393222:BZZ393314 CJV393222:CJV393314 CTR393222:CTR393314 DDN393222:DDN393314 DNJ393222:DNJ393314 DXF393222:DXF393314 EHB393222:EHB393314 EQX393222:EQX393314 FAT393222:FAT393314 FKP393222:FKP393314 FUL393222:FUL393314 GEH393222:GEH393314 GOD393222:GOD393314 GXZ393222:GXZ393314 HHV393222:HHV393314 HRR393222:HRR393314 IBN393222:IBN393314 ILJ393222:ILJ393314 IVF393222:IVF393314 JFB393222:JFB393314 JOX393222:JOX393314 JYT393222:JYT393314 KIP393222:KIP393314 KSL393222:KSL393314 LCH393222:LCH393314 LMD393222:LMD393314 LVZ393222:LVZ393314 MFV393222:MFV393314 MPR393222:MPR393314 MZN393222:MZN393314 NJJ393222:NJJ393314 NTF393222:NTF393314 ODB393222:ODB393314 OMX393222:OMX393314 OWT393222:OWT393314 PGP393222:PGP393314 PQL393222:PQL393314 QAH393222:QAH393314 QKD393222:QKD393314 QTZ393222:QTZ393314 RDV393222:RDV393314 RNR393222:RNR393314 RXN393222:RXN393314 SHJ393222:SHJ393314 SRF393222:SRF393314 TBB393222:TBB393314 TKX393222:TKX393314 TUT393222:TUT393314 UEP393222:UEP393314 UOL393222:UOL393314 UYH393222:UYH393314 VID393222:VID393314 VRZ393222:VRZ393314 WBV393222:WBV393314 WLR393222:WLR393314 WVN393222:WVN393314 F458758:F458850 JB458758:JB458850 SX458758:SX458850 ACT458758:ACT458850 AMP458758:AMP458850 AWL458758:AWL458850 BGH458758:BGH458850 BQD458758:BQD458850 BZZ458758:BZZ458850 CJV458758:CJV458850 CTR458758:CTR458850 DDN458758:DDN458850 DNJ458758:DNJ458850 DXF458758:DXF458850 EHB458758:EHB458850 EQX458758:EQX458850 FAT458758:FAT458850 FKP458758:FKP458850 FUL458758:FUL458850 GEH458758:GEH458850 GOD458758:GOD458850 GXZ458758:GXZ458850 HHV458758:HHV458850 HRR458758:HRR458850 IBN458758:IBN458850 ILJ458758:ILJ458850 IVF458758:IVF458850 JFB458758:JFB458850 JOX458758:JOX458850 JYT458758:JYT458850 KIP458758:KIP458850 KSL458758:KSL458850 LCH458758:LCH458850 LMD458758:LMD458850 LVZ458758:LVZ458850 MFV458758:MFV458850 MPR458758:MPR458850 MZN458758:MZN458850 NJJ458758:NJJ458850 NTF458758:NTF458850 ODB458758:ODB458850 OMX458758:OMX458850 OWT458758:OWT458850 PGP458758:PGP458850 PQL458758:PQL458850 QAH458758:QAH458850 QKD458758:QKD458850 QTZ458758:QTZ458850 RDV458758:RDV458850 RNR458758:RNR458850 RXN458758:RXN458850 SHJ458758:SHJ458850 SRF458758:SRF458850 TBB458758:TBB458850 TKX458758:TKX458850 TUT458758:TUT458850 UEP458758:UEP458850 UOL458758:UOL458850 UYH458758:UYH458850 VID458758:VID458850 VRZ458758:VRZ458850 WBV458758:WBV458850 WLR458758:WLR458850 WVN458758:WVN458850 F524294:F524386 JB524294:JB524386 SX524294:SX524386 ACT524294:ACT524386 AMP524294:AMP524386 AWL524294:AWL524386 BGH524294:BGH524386 BQD524294:BQD524386 BZZ524294:BZZ524386 CJV524294:CJV524386 CTR524294:CTR524386 DDN524294:DDN524386 DNJ524294:DNJ524386 DXF524294:DXF524386 EHB524294:EHB524386 EQX524294:EQX524386 FAT524294:FAT524386 FKP524294:FKP524386 FUL524294:FUL524386 GEH524294:GEH524386 GOD524294:GOD524386 GXZ524294:GXZ524386 HHV524294:HHV524386 HRR524294:HRR524386 IBN524294:IBN524386 ILJ524294:ILJ524386 IVF524294:IVF524386 JFB524294:JFB524386 JOX524294:JOX524386 JYT524294:JYT524386 KIP524294:KIP524386 KSL524294:KSL524386 LCH524294:LCH524386 LMD524294:LMD524386 LVZ524294:LVZ524386 MFV524294:MFV524386 MPR524294:MPR524386 MZN524294:MZN524386 NJJ524294:NJJ524386 NTF524294:NTF524386 ODB524294:ODB524386 OMX524294:OMX524386 OWT524294:OWT524386 PGP524294:PGP524386 PQL524294:PQL524386 QAH524294:QAH524386 QKD524294:QKD524386 QTZ524294:QTZ524386 RDV524294:RDV524386 RNR524294:RNR524386 RXN524294:RXN524386 SHJ524294:SHJ524386 SRF524294:SRF524386 TBB524294:TBB524386 TKX524294:TKX524386 TUT524294:TUT524386 UEP524294:UEP524386 UOL524294:UOL524386 UYH524294:UYH524386 VID524294:VID524386 VRZ524294:VRZ524386 WBV524294:WBV524386 WLR524294:WLR524386 WVN524294:WVN524386 F589830:F589922 JB589830:JB589922 SX589830:SX589922 ACT589830:ACT589922 AMP589830:AMP589922 AWL589830:AWL589922 BGH589830:BGH589922 BQD589830:BQD589922 BZZ589830:BZZ589922 CJV589830:CJV589922 CTR589830:CTR589922 DDN589830:DDN589922 DNJ589830:DNJ589922 DXF589830:DXF589922 EHB589830:EHB589922 EQX589830:EQX589922 FAT589830:FAT589922 FKP589830:FKP589922 FUL589830:FUL589922 GEH589830:GEH589922 GOD589830:GOD589922 GXZ589830:GXZ589922 HHV589830:HHV589922 HRR589830:HRR589922 IBN589830:IBN589922 ILJ589830:ILJ589922 IVF589830:IVF589922 JFB589830:JFB589922 JOX589830:JOX589922 JYT589830:JYT589922 KIP589830:KIP589922 KSL589830:KSL589922 LCH589830:LCH589922 LMD589830:LMD589922 LVZ589830:LVZ589922 MFV589830:MFV589922 MPR589830:MPR589922 MZN589830:MZN589922 NJJ589830:NJJ589922 NTF589830:NTF589922 ODB589830:ODB589922 OMX589830:OMX589922 OWT589830:OWT589922 PGP589830:PGP589922 PQL589830:PQL589922 QAH589830:QAH589922 QKD589830:QKD589922 QTZ589830:QTZ589922 RDV589830:RDV589922 RNR589830:RNR589922 RXN589830:RXN589922 SHJ589830:SHJ589922 SRF589830:SRF589922 TBB589830:TBB589922 TKX589830:TKX589922 TUT589830:TUT589922 UEP589830:UEP589922 UOL589830:UOL589922 UYH589830:UYH589922 VID589830:VID589922 VRZ589830:VRZ589922 WBV589830:WBV589922 WLR589830:WLR589922 WVN589830:WVN589922 F655366:F655458 JB655366:JB655458 SX655366:SX655458 ACT655366:ACT655458 AMP655366:AMP655458 AWL655366:AWL655458 BGH655366:BGH655458 BQD655366:BQD655458 BZZ655366:BZZ655458 CJV655366:CJV655458 CTR655366:CTR655458 DDN655366:DDN655458 DNJ655366:DNJ655458 DXF655366:DXF655458 EHB655366:EHB655458 EQX655366:EQX655458 FAT655366:FAT655458 FKP655366:FKP655458 FUL655366:FUL655458 GEH655366:GEH655458 GOD655366:GOD655458 GXZ655366:GXZ655458 HHV655366:HHV655458 HRR655366:HRR655458 IBN655366:IBN655458 ILJ655366:ILJ655458 IVF655366:IVF655458 JFB655366:JFB655458 JOX655366:JOX655458 JYT655366:JYT655458 KIP655366:KIP655458 KSL655366:KSL655458 LCH655366:LCH655458 LMD655366:LMD655458 LVZ655366:LVZ655458 MFV655366:MFV655458 MPR655366:MPR655458 MZN655366:MZN655458 NJJ655366:NJJ655458 NTF655366:NTF655458 ODB655366:ODB655458 OMX655366:OMX655458 OWT655366:OWT655458 PGP655366:PGP655458 PQL655366:PQL655458 QAH655366:QAH655458 QKD655366:QKD655458 QTZ655366:QTZ655458 RDV655366:RDV655458 RNR655366:RNR655458 RXN655366:RXN655458 SHJ655366:SHJ655458 SRF655366:SRF655458 TBB655366:TBB655458 TKX655366:TKX655458 TUT655366:TUT655458 UEP655366:UEP655458 UOL655366:UOL655458 UYH655366:UYH655458 VID655366:VID655458 VRZ655366:VRZ655458 WBV655366:WBV655458 WLR655366:WLR655458 WVN655366:WVN655458 F720902:F720994 JB720902:JB720994 SX720902:SX720994 ACT720902:ACT720994 AMP720902:AMP720994 AWL720902:AWL720994 BGH720902:BGH720994 BQD720902:BQD720994 BZZ720902:BZZ720994 CJV720902:CJV720994 CTR720902:CTR720994 DDN720902:DDN720994 DNJ720902:DNJ720994 DXF720902:DXF720994 EHB720902:EHB720994 EQX720902:EQX720994 FAT720902:FAT720994 FKP720902:FKP720994 FUL720902:FUL720994 GEH720902:GEH720994 GOD720902:GOD720994 GXZ720902:GXZ720994 HHV720902:HHV720994 HRR720902:HRR720994 IBN720902:IBN720994 ILJ720902:ILJ720994 IVF720902:IVF720994 JFB720902:JFB720994 JOX720902:JOX720994 JYT720902:JYT720994 KIP720902:KIP720994 KSL720902:KSL720994 LCH720902:LCH720994 LMD720902:LMD720994 LVZ720902:LVZ720994 MFV720902:MFV720994 MPR720902:MPR720994 MZN720902:MZN720994 NJJ720902:NJJ720994 NTF720902:NTF720994 ODB720902:ODB720994 OMX720902:OMX720994 OWT720902:OWT720994 PGP720902:PGP720994 PQL720902:PQL720994 QAH720902:QAH720994 QKD720902:QKD720994 QTZ720902:QTZ720994 RDV720902:RDV720994 RNR720902:RNR720994 RXN720902:RXN720994 SHJ720902:SHJ720994 SRF720902:SRF720994 TBB720902:TBB720994 TKX720902:TKX720994 TUT720902:TUT720994 UEP720902:UEP720994 UOL720902:UOL720994 UYH720902:UYH720994 VID720902:VID720994 VRZ720902:VRZ720994 WBV720902:WBV720994 WLR720902:WLR720994 WVN720902:WVN720994 F786438:F786530 JB786438:JB786530 SX786438:SX786530 ACT786438:ACT786530 AMP786438:AMP786530 AWL786438:AWL786530 BGH786438:BGH786530 BQD786438:BQD786530 BZZ786438:BZZ786530 CJV786438:CJV786530 CTR786438:CTR786530 DDN786438:DDN786530 DNJ786438:DNJ786530 DXF786438:DXF786530 EHB786438:EHB786530 EQX786438:EQX786530 FAT786438:FAT786530 FKP786438:FKP786530 FUL786438:FUL786530 GEH786438:GEH786530 GOD786438:GOD786530 GXZ786438:GXZ786530 HHV786438:HHV786530 HRR786438:HRR786530 IBN786438:IBN786530 ILJ786438:ILJ786530 IVF786438:IVF786530 JFB786438:JFB786530 JOX786438:JOX786530 JYT786438:JYT786530 KIP786438:KIP786530 KSL786438:KSL786530 LCH786438:LCH786530 LMD786438:LMD786530 LVZ786438:LVZ786530 MFV786438:MFV786530 MPR786438:MPR786530 MZN786438:MZN786530 NJJ786438:NJJ786530 NTF786438:NTF786530 ODB786438:ODB786530 OMX786438:OMX786530 OWT786438:OWT786530 PGP786438:PGP786530 PQL786438:PQL786530 QAH786438:QAH786530 QKD786438:QKD786530 QTZ786438:QTZ786530 RDV786438:RDV786530 RNR786438:RNR786530 RXN786438:RXN786530 SHJ786438:SHJ786530 SRF786438:SRF786530 TBB786438:TBB786530 TKX786438:TKX786530 TUT786438:TUT786530 UEP786438:UEP786530 UOL786438:UOL786530 UYH786438:UYH786530 VID786438:VID786530 VRZ786438:VRZ786530 WBV786438:WBV786530 WLR786438:WLR786530 WVN786438:WVN786530 F851974:F852066 JB851974:JB852066 SX851974:SX852066 ACT851974:ACT852066 AMP851974:AMP852066 AWL851974:AWL852066 BGH851974:BGH852066 BQD851974:BQD852066 BZZ851974:BZZ852066 CJV851974:CJV852066 CTR851974:CTR852066 DDN851974:DDN852066 DNJ851974:DNJ852066 DXF851974:DXF852066 EHB851974:EHB852066 EQX851974:EQX852066 FAT851974:FAT852066 FKP851974:FKP852066 FUL851974:FUL852066 GEH851974:GEH852066 GOD851974:GOD852066 GXZ851974:GXZ852066 HHV851974:HHV852066 HRR851974:HRR852066 IBN851974:IBN852066 ILJ851974:ILJ852066 IVF851974:IVF852066 JFB851974:JFB852066 JOX851974:JOX852066 JYT851974:JYT852066 KIP851974:KIP852066 KSL851974:KSL852066 LCH851974:LCH852066 LMD851974:LMD852066 LVZ851974:LVZ852066 MFV851974:MFV852066 MPR851974:MPR852066 MZN851974:MZN852066 NJJ851974:NJJ852066 NTF851974:NTF852066 ODB851974:ODB852066 OMX851974:OMX852066 OWT851974:OWT852066 PGP851974:PGP852066 PQL851974:PQL852066 QAH851974:QAH852066 QKD851974:QKD852066 QTZ851974:QTZ852066 RDV851974:RDV852066 RNR851974:RNR852066 RXN851974:RXN852066 SHJ851974:SHJ852066 SRF851974:SRF852066 TBB851974:TBB852066 TKX851974:TKX852066 TUT851974:TUT852066 UEP851974:UEP852066 UOL851974:UOL852066 UYH851974:UYH852066 VID851974:VID852066 VRZ851974:VRZ852066 WBV851974:WBV852066 WLR851974:WLR852066 WVN851974:WVN852066 F917510:F917602 JB917510:JB917602 SX917510:SX917602 ACT917510:ACT917602 AMP917510:AMP917602 AWL917510:AWL917602 BGH917510:BGH917602 BQD917510:BQD917602 BZZ917510:BZZ917602 CJV917510:CJV917602 CTR917510:CTR917602 DDN917510:DDN917602 DNJ917510:DNJ917602 DXF917510:DXF917602 EHB917510:EHB917602 EQX917510:EQX917602 FAT917510:FAT917602 FKP917510:FKP917602 FUL917510:FUL917602 GEH917510:GEH917602 GOD917510:GOD917602 GXZ917510:GXZ917602 HHV917510:HHV917602 HRR917510:HRR917602 IBN917510:IBN917602 ILJ917510:ILJ917602 IVF917510:IVF917602 JFB917510:JFB917602 JOX917510:JOX917602 JYT917510:JYT917602 KIP917510:KIP917602 KSL917510:KSL917602 LCH917510:LCH917602 LMD917510:LMD917602 LVZ917510:LVZ917602 MFV917510:MFV917602 MPR917510:MPR917602 MZN917510:MZN917602 NJJ917510:NJJ917602 NTF917510:NTF917602 ODB917510:ODB917602 OMX917510:OMX917602 OWT917510:OWT917602 PGP917510:PGP917602 PQL917510:PQL917602 QAH917510:QAH917602 QKD917510:QKD917602 QTZ917510:QTZ917602 RDV917510:RDV917602 RNR917510:RNR917602 RXN917510:RXN917602 SHJ917510:SHJ917602 SRF917510:SRF917602 TBB917510:TBB917602 TKX917510:TKX917602 TUT917510:TUT917602 UEP917510:UEP917602 UOL917510:UOL917602 UYH917510:UYH917602 VID917510:VID917602 VRZ917510:VRZ917602 WBV917510:WBV917602 WLR917510:WLR917602 WVN917510:WVN917602 F983046:F983138 JB983046:JB983138 SX983046:SX983138 ACT983046:ACT983138 AMP983046:AMP983138 AWL983046:AWL983138 BGH983046:BGH983138 BQD983046:BQD983138 BZZ983046:BZZ983138 CJV983046:CJV983138 CTR983046:CTR983138 DDN983046:DDN983138 DNJ983046:DNJ983138 DXF983046:DXF983138 EHB983046:EHB983138 EQX983046:EQX983138 FAT983046:FAT983138 FKP983046:FKP983138 FUL983046:FUL983138 GEH983046:GEH983138 GOD983046:GOD983138 GXZ983046:GXZ983138 HHV983046:HHV983138 HRR983046:HRR983138 IBN983046:IBN983138 ILJ983046:ILJ983138 IVF983046:IVF983138 JFB983046:JFB983138 JOX983046:JOX983138 JYT983046:JYT983138 KIP983046:KIP983138 KSL983046:KSL983138 LCH983046:LCH983138 LMD983046:LMD983138 LVZ983046:LVZ983138 MFV983046:MFV983138 MPR983046:MPR983138 MZN983046:MZN983138 NJJ983046:NJJ983138 NTF983046:NTF983138 ODB983046:ODB983138 OMX983046:OMX983138 OWT983046:OWT983138 PGP983046:PGP983138 PQL983046:PQL983138 QAH983046:QAH983138 QKD983046:QKD983138 QTZ983046:QTZ983138 RDV983046:RDV983138 RNR983046:RNR983138 RXN983046:RXN983138 SHJ983046:SHJ983138 SRF983046:SRF983138 TBB983046:TBB983138 TKX983046:TKX983138 TUT983046:TUT983138 UEP983046:UEP983138 UOL983046:UOL983138 UYH983046:UYH983138 VID983046:VID983138 VRZ983046:VRZ983138 WBV983046:WBV983138 WLR983046:WLR983138 WVN983046:WVN983138 F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formula1>SERVIDOR</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election activeCell="D3" sqref="D3"/>
    </sheetView>
  </sheetViews>
  <sheetFormatPr baseColWidth="10" defaultColWidth="65.42578125" defaultRowHeight="15" x14ac:dyDescent="0.25"/>
  <cols>
    <col min="1" max="2" width="18" customWidth="1"/>
  </cols>
  <sheetData>
    <row r="1" spans="1:5" ht="28.5" x14ac:dyDescent="0.25">
      <c r="A1" s="103" t="s">
        <v>405</v>
      </c>
      <c r="B1" s="73" t="s">
        <v>99</v>
      </c>
      <c r="C1" s="73" t="s">
        <v>1</v>
      </c>
      <c r="D1" s="73" t="s">
        <v>109</v>
      </c>
      <c r="E1" s="73" t="s">
        <v>100</v>
      </c>
    </row>
    <row r="2" spans="1:5" ht="30" x14ac:dyDescent="0.25">
      <c r="A2" s="104" t="s">
        <v>406</v>
      </c>
      <c r="B2" s="74">
        <v>2203</v>
      </c>
      <c r="C2" s="79" t="s">
        <v>139</v>
      </c>
      <c r="D2" s="79" t="s">
        <v>130</v>
      </c>
      <c r="E2" s="4" t="s">
        <v>124</v>
      </c>
    </row>
    <row r="3" spans="1:5" ht="30" x14ac:dyDescent="0.25">
      <c r="A3" s="104" t="s">
        <v>406</v>
      </c>
      <c r="B3" s="74">
        <v>2203</v>
      </c>
      <c r="C3" s="79" t="s">
        <v>139</v>
      </c>
      <c r="D3" s="79" t="s">
        <v>130</v>
      </c>
      <c r="E3" s="6" t="s">
        <v>287</v>
      </c>
    </row>
    <row r="4" spans="1:5" ht="30" x14ac:dyDescent="0.25">
      <c r="A4" s="104" t="s">
        <v>406</v>
      </c>
      <c r="B4" s="74">
        <v>2203</v>
      </c>
      <c r="C4" s="79" t="s">
        <v>139</v>
      </c>
      <c r="D4" s="79" t="s">
        <v>130</v>
      </c>
      <c r="E4" s="5" t="s">
        <v>125</v>
      </c>
    </row>
    <row r="5" spans="1:5" ht="30" x14ac:dyDescent="0.25">
      <c r="A5" s="104" t="s">
        <v>406</v>
      </c>
      <c r="B5" s="74">
        <v>2299</v>
      </c>
      <c r="C5" s="75" t="s">
        <v>137</v>
      </c>
      <c r="D5" s="75" t="s">
        <v>138</v>
      </c>
      <c r="E5" s="76" t="s">
        <v>115</v>
      </c>
    </row>
    <row r="6" spans="1:5" ht="30" x14ac:dyDescent="0.25">
      <c r="A6" s="104" t="s">
        <v>406</v>
      </c>
      <c r="B6" s="74">
        <v>2299</v>
      </c>
      <c r="C6" s="75" t="s">
        <v>137</v>
      </c>
      <c r="D6" s="75" t="s">
        <v>138</v>
      </c>
      <c r="E6" s="77" t="s">
        <v>110</v>
      </c>
    </row>
    <row r="7" spans="1:5" ht="30" x14ac:dyDescent="0.25">
      <c r="A7" s="104" t="s">
        <v>406</v>
      </c>
      <c r="B7" s="74">
        <v>2299</v>
      </c>
      <c r="C7" s="75" t="s">
        <v>137</v>
      </c>
      <c r="D7" s="75" t="s">
        <v>138</v>
      </c>
      <c r="E7" s="78" t="s">
        <v>118</v>
      </c>
    </row>
    <row r="8" spans="1:5" ht="30" x14ac:dyDescent="0.25">
      <c r="A8" s="104" t="s">
        <v>406</v>
      </c>
      <c r="B8" s="74">
        <v>2299</v>
      </c>
      <c r="C8" s="75" t="s">
        <v>137</v>
      </c>
      <c r="D8" s="75" t="s">
        <v>138</v>
      </c>
      <c r="E8" s="8" t="s">
        <v>121</v>
      </c>
    </row>
    <row r="9" spans="1:5" ht="30" x14ac:dyDescent="0.25">
      <c r="A9" s="104" t="s">
        <v>406</v>
      </c>
      <c r="B9" s="74">
        <v>2299</v>
      </c>
      <c r="C9" s="75" t="s">
        <v>137</v>
      </c>
      <c r="D9" s="75" t="s">
        <v>138</v>
      </c>
      <c r="E9" s="7"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Ejecución</vt:lpstr>
      <vt:lpstr>Final OAP</vt:lpstr>
      <vt:lpstr>F. EVENTOS </vt:lpstr>
      <vt:lpstr>EVENTOS</vt:lpstr>
      <vt:lpstr>COMISIONES Y VIAJES</vt:lpstr>
      <vt:lpstr>Desagregació x Producto</vt:lpstr>
      <vt:lpstr>Ejecución!Área_de_impresión</vt:lpstr>
      <vt:lpstr>'Final OAP'!Área_de_impresión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Paola Rivera Moreno</dc:creator>
  <cp:lastModifiedBy>Martha del Pilar Gomez</cp:lastModifiedBy>
  <cp:lastPrinted>2019-10-30T20:16:12Z</cp:lastPrinted>
  <dcterms:created xsi:type="dcterms:W3CDTF">2017-10-19T16:30:19Z</dcterms:created>
  <dcterms:modified xsi:type="dcterms:W3CDTF">2019-12-27T15:26:51Z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cd458455-4149-47c6-8573-1259538c5e31</vt:lpwstr>
  </property>
</Properties>
</file>