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mgomez\Downloads\"/>
    </mc:Choice>
  </mc:AlternateContent>
  <xr:revisionPtr revIDLastSave="0" documentId="13_ncr:1_{3C0E93CE-34CE-459B-AB27-DB10E245B55C}" xr6:coauthVersionLast="36" xr6:coauthVersionMax="36" xr10:uidLastSave="{00000000-0000-0000-0000-000000000000}"/>
  <bookViews>
    <workbookView showHorizontalScroll="0" showVerticalScroll="0" showSheetTabs="0" xWindow="0" yWindow="0" windowWidth="24000" windowHeight="9405" xr2:uid="{00000000-000D-0000-FFFF-FFFF00000000}"/>
  </bookViews>
  <sheets>
    <sheet name="PLAN DE ADQUISICIONES  " sheetId="5" r:id="rId1"/>
    <sheet name="Hoja1" sheetId="8" r:id="rId2"/>
    <sheet name="COMISIONES" sheetId="6" r:id="rId3"/>
    <sheet name="viàticos" sheetId="7" r:id="rId4"/>
  </sheets>
  <externalReferences>
    <externalReference r:id="rId5"/>
    <externalReference r:id="rId6"/>
  </externalReferences>
  <definedNames>
    <definedName name="_xlnm._FilterDatabase" localSheetId="0" hidden="1">'PLAN DE ADQUISICIONES  '!$A$5:$AR$219</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79" i="5" l="1"/>
  <c r="AM182" i="5"/>
  <c r="AM156" i="5"/>
  <c r="AP156" i="5" s="1"/>
  <c r="AM154" i="5"/>
  <c r="AM155" i="5"/>
  <c r="AM157" i="5"/>
  <c r="AM178" i="5" l="1"/>
  <c r="AM101" i="5"/>
  <c r="AM98" i="5"/>
  <c r="AM46" i="5"/>
  <c r="AM199" i="5"/>
  <c r="AM219" i="5" s="1"/>
  <c r="AM57" i="5"/>
  <c r="AP143" i="5"/>
  <c r="AP157" i="5"/>
  <c r="AM184" i="5"/>
  <c r="AM143" i="5"/>
  <c r="AM152" i="5"/>
  <c r="AM146" i="5"/>
  <c r="AP217" i="5"/>
  <c r="AP216" i="5" l="1"/>
  <c r="AP218" i="5" s="1"/>
  <c r="AM106" i="5" l="1"/>
  <c r="AM103" i="5"/>
  <c r="AP103" i="5" s="1"/>
  <c r="AM102" i="5"/>
  <c r="AM31" i="5"/>
  <c r="AM22" i="5"/>
  <c r="AM14" i="5"/>
  <c r="AM180" i="5" l="1"/>
  <c r="AM109" i="5" l="1"/>
  <c r="AM186" i="5"/>
  <c r="AM79" i="5"/>
  <c r="AM80" i="5"/>
  <c r="AM161" i="5"/>
  <c r="AI161" i="5"/>
  <c r="AM195" i="5"/>
  <c r="AM164" i="5"/>
  <c r="AM105" i="5" l="1"/>
  <c r="AM32" i="5"/>
  <c r="AM16" i="5"/>
  <c r="AM160" i="5"/>
  <c r="AM198" i="5"/>
  <c r="AM159" i="5"/>
  <c r="AM127" i="5"/>
  <c r="AM175" i="5"/>
  <c r="AM134" i="5"/>
  <c r="AI169" i="5" l="1"/>
  <c r="AE169" i="5"/>
  <c r="AI174" i="5"/>
  <c r="AI172" i="5"/>
  <c r="AE172" i="5"/>
  <c r="AI167" i="5"/>
  <c r="AM185" i="5" l="1"/>
  <c r="AM108" i="5"/>
  <c r="AM107" i="5"/>
  <c r="AM78" i="5"/>
  <c r="AM17" i="5"/>
  <c r="AM168" i="5"/>
  <c r="AM41" i="5"/>
  <c r="AM40" i="5"/>
  <c r="AM100" i="5"/>
  <c r="AM117" i="5" l="1"/>
  <c r="AM116" i="5"/>
  <c r="AM137" i="5"/>
  <c r="AM139" i="5"/>
  <c r="AM142" i="5"/>
  <c r="AM138" i="5"/>
  <c r="AM132" i="5"/>
  <c r="AM140" i="5"/>
  <c r="AM131" i="5"/>
  <c r="AM96" i="5"/>
  <c r="AM176" i="5"/>
  <c r="AM172" i="5"/>
  <c r="AM34" i="5"/>
  <c r="AM8" i="5"/>
  <c r="AM9" i="5"/>
  <c r="AM24" i="5"/>
  <c r="AM92" i="5"/>
  <c r="AM125" i="5"/>
  <c r="AM25" i="5"/>
  <c r="AM167" i="5"/>
  <c r="AM45" i="5"/>
  <c r="AM43" i="5"/>
  <c r="AM99" i="5"/>
  <c r="AM169" i="5"/>
  <c r="AM119" i="5"/>
  <c r="AM120" i="5"/>
  <c r="AM174" i="5"/>
  <c r="AM177" i="5"/>
  <c r="AM33" i="5"/>
  <c r="AM44" i="5"/>
  <c r="AM93" i="5"/>
  <c r="AM124" i="5"/>
  <c r="AM38" i="5"/>
  <c r="AM37" i="5"/>
  <c r="AM48" i="5"/>
  <c r="AM114" i="5"/>
  <c r="AM115" i="5"/>
  <c r="AM68" i="5"/>
  <c r="AM113" i="5"/>
  <c r="AM6" i="5"/>
  <c r="AM141" i="5"/>
  <c r="AM72" i="5"/>
  <c r="AM66" i="5"/>
  <c r="AM64" i="5"/>
  <c r="AM73" i="5"/>
  <c r="AM71" i="5"/>
  <c r="AM7" i="5"/>
  <c r="AE174" i="5" l="1"/>
  <c r="AE75" i="5" l="1"/>
  <c r="AI114" i="5"/>
  <c r="AE167" i="5"/>
  <c r="AE66" i="5"/>
  <c r="AA172" i="5" l="1"/>
  <c r="AA167" i="5"/>
  <c r="AB193" i="5"/>
  <c r="AB52" i="5" l="1"/>
  <c r="AC69" i="5"/>
  <c r="AC67" i="5"/>
  <c r="AC65" i="5"/>
  <c r="AF65" i="5" s="1"/>
  <c r="AJ69" i="5" l="1"/>
  <c r="AF69" i="5"/>
  <c r="AJ67" i="5"/>
  <c r="AF67" i="5"/>
  <c r="AJ65" i="5"/>
  <c r="AI134" i="5" l="1"/>
  <c r="AE161" i="5" l="1"/>
  <c r="AE114" i="5" l="1"/>
  <c r="AB127" i="5" l="1"/>
  <c r="AB124" i="5"/>
  <c r="AA114" i="5"/>
  <c r="AC121" i="5" l="1"/>
  <c r="AJ121" i="5" s="1"/>
  <c r="AF121" i="5" l="1"/>
  <c r="AM188" i="5"/>
  <c r="AI188" i="5"/>
  <c r="AE188" i="5"/>
  <c r="AE134" i="5" l="1"/>
  <c r="AB51" i="5" l="1"/>
  <c r="AC56" i="5"/>
  <c r="AJ56" i="5" s="1"/>
  <c r="AC55" i="5"/>
  <c r="AJ55" i="5" s="1"/>
  <c r="AC54" i="5"/>
  <c r="AF56" i="5" l="1"/>
  <c r="AJ54" i="5"/>
  <c r="AF54" i="5"/>
  <c r="AF55" i="5"/>
  <c r="AE108" i="5"/>
  <c r="AE107" i="5"/>
  <c r="AE123" i="5" l="1"/>
  <c r="AE122" i="5"/>
  <c r="AI178" i="5" l="1"/>
  <c r="AE178" i="5"/>
  <c r="AI177" i="5" l="1"/>
  <c r="AE177" i="5"/>
  <c r="AE79" i="5" l="1"/>
  <c r="AA79" i="5"/>
  <c r="AI108" i="5"/>
  <c r="AI107" i="5"/>
  <c r="AI105" i="5" l="1"/>
  <c r="AI198" i="5" l="1"/>
  <c r="AE198" i="5"/>
  <c r="AI160" i="5"/>
  <c r="AE160" i="5"/>
  <c r="AI159" i="5"/>
  <c r="AE159" i="5"/>
  <c r="AA159" i="5"/>
  <c r="AB101" i="5" l="1"/>
  <c r="AE105" i="5" l="1"/>
  <c r="AI206" i="5" l="1"/>
  <c r="AE206" i="5"/>
  <c r="AM11" i="5" l="1"/>
  <c r="AM29" i="5"/>
  <c r="AM12" i="5"/>
  <c r="AM10" i="5"/>
  <c r="AM214" i="5" l="1"/>
  <c r="AM91" i="5"/>
  <c r="AM192" i="5"/>
  <c r="AN215" i="5" l="1"/>
  <c r="AM60" i="5"/>
  <c r="AM59" i="5"/>
  <c r="AM129" i="5" l="1"/>
  <c r="AM47" i="5"/>
  <c r="AE10" i="5" l="1"/>
  <c r="AM170" i="5" l="1"/>
  <c r="AI181" i="5" l="1"/>
  <c r="AE181" i="5" l="1"/>
  <c r="AI31" i="5" l="1"/>
  <c r="AE86" i="5" l="1"/>
  <c r="AE22" i="5"/>
  <c r="AE19" i="5"/>
  <c r="AB87" i="5" l="1"/>
  <c r="AB82" i="5"/>
  <c r="AB79" i="5"/>
  <c r="AB62" i="5"/>
  <c r="AB59" i="5"/>
  <c r="AB49" i="5"/>
  <c r="AC53" i="5" l="1"/>
  <c r="AF53" i="5" s="1"/>
  <c r="AC52" i="5"/>
  <c r="AF52" i="5" s="1"/>
  <c r="AC51" i="5"/>
  <c r="AF51" i="5" s="1"/>
  <c r="AJ53" i="5" l="1"/>
  <c r="AJ52" i="5"/>
  <c r="AJ51" i="5"/>
  <c r="AI109" i="5" l="1"/>
  <c r="AE31" i="5" l="1"/>
  <c r="AE29" i="5"/>
  <c r="AI170" i="5"/>
  <c r="AE187" i="5"/>
  <c r="AI29" i="5" l="1"/>
  <c r="AM75" i="5"/>
  <c r="AM84" i="5"/>
  <c r="AM153" i="5"/>
  <c r="AM76" i="5"/>
  <c r="AM133" i="5"/>
  <c r="AM70" i="5" l="1"/>
  <c r="AI127" i="5" l="1"/>
  <c r="AE127" i="5"/>
  <c r="AI106" i="5" l="1"/>
  <c r="AP106" i="5" s="1"/>
  <c r="Z123" i="5" l="1"/>
  <c r="AC123" i="5" s="1"/>
  <c r="AA134" i="5"/>
  <c r="AB125" i="5"/>
  <c r="AJ123" i="5" l="1"/>
  <c r="AF123" i="5"/>
  <c r="AI180" i="5"/>
  <c r="AI179" i="5"/>
  <c r="AA108" i="5" l="1"/>
  <c r="AA198" i="5"/>
  <c r="AA161" i="5"/>
  <c r="AB37" i="5"/>
  <c r="AB36" i="5"/>
  <c r="AC41" i="5"/>
  <c r="AF41" i="5" l="1"/>
  <c r="AI83" i="5" l="1"/>
  <c r="AE106" i="5"/>
  <c r="AI22" i="5" l="1"/>
  <c r="I17" i="8" l="1"/>
  <c r="AE14" i="5" l="1"/>
  <c r="AI14" i="5"/>
  <c r="AP14" i="5" s="1"/>
  <c r="AE11" i="5"/>
  <c r="AI11" i="5"/>
  <c r="AI10" i="5"/>
  <c r="AH2" i="5" l="1"/>
  <c r="AM2" i="5" l="1"/>
  <c r="AN2" i="5" s="1"/>
  <c r="AM197" i="5"/>
  <c r="AI175" i="5"/>
  <c r="AI76" i="5" l="1"/>
  <c r="AI75" i="5"/>
  <c r="AI197" i="5" l="1"/>
  <c r="AE180" i="5"/>
  <c r="AE179" i="5"/>
  <c r="AE197" i="5"/>
  <c r="AA179" i="5" l="1"/>
  <c r="AB190" i="5"/>
  <c r="AB165" i="5"/>
  <c r="AB163" i="5"/>
  <c r="AB158" i="5"/>
  <c r="AB148" i="5"/>
  <c r="AB145" i="5"/>
  <c r="AC21" i="5"/>
  <c r="AJ21" i="5" s="1"/>
  <c r="AF21" i="5" l="1"/>
  <c r="AB199" i="5" l="1"/>
  <c r="AA75" i="5" l="1"/>
  <c r="AE131" i="5" l="1"/>
  <c r="AM20" i="5"/>
  <c r="AI12" i="5"/>
  <c r="AE199" i="5"/>
  <c r="AE175" i="5"/>
  <c r="AA86" i="5" l="1"/>
  <c r="AC39" i="5"/>
  <c r="AF39" i="5" l="1"/>
  <c r="AJ39" i="5"/>
  <c r="AE49" i="5" l="1"/>
  <c r="AC58" i="5" l="1"/>
  <c r="AF58" i="5" s="1"/>
  <c r="AJ58" i="5" l="1"/>
  <c r="AE12" i="5" l="1"/>
  <c r="AC15" i="5" l="1"/>
  <c r="AF15" i="5" s="1"/>
  <c r="AJ15" i="5" l="1"/>
  <c r="AE129" i="5" l="1"/>
  <c r="AE125" i="5"/>
  <c r="AE124" i="5"/>
  <c r="AE133" i="5"/>
  <c r="AE128" i="5"/>
  <c r="AE141" i="5"/>
  <c r="AI20" i="5" l="1"/>
  <c r="AM208" i="5" l="1"/>
  <c r="AB159" i="5"/>
  <c r="AM35" i="5"/>
  <c r="AM190" i="5"/>
  <c r="AE20" i="5" l="1"/>
  <c r="AI113" i="5" l="1"/>
  <c r="AE113" i="5"/>
  <c r="AE88" i="5"/>
  <c r="AI208" i="5"/>
  <c r="AE208" i="5"/>
  <c r="AI190" i="5"/>
  <c r="AE190" i="5"/>
  <c r="AC198" i="5" l="1"/>
  <c r="AJ198" i="5" s="1"/>
  <c r="AB171" i="5"/>
  <c r="AB169" i="5"/>
  <c r="AB166" i="5"/>
  <c r="AB157" i="5"/>
  <c r="AB156" i="5"/>
  <c r="AB155" i="5"/>
  <c r="AB154" i="5"/>
  <c r="AB152" i="5"/>
  <c r="AB149" i="5"/>
  <c r="AB143" i="5"/>
  <c r="AF198" i="5" l="1"/>
  <c r="AB71" i="5" l="1"/>
  <c r="AB77" i="5"/>
  <c r="AC87" i="5"/>
  <c r="AJ87" i="5" s="1"/>
  <c r="AC86" i="5"/>
  <c r="AJ86" i="5" s="1"/>
  <c r="AA76" i="5"/>
  <c r="AC85" i="5"/>
  <c r="AJ85" i="5" s="1"/>
  <c r="AC84" i="5"/>
  <c r="AJ84" i="5" s="1"/>
  <c r="AC83" i="5"/>
  <c r="AA82" i="5"/>
  <c r="AA62" i="5"/>
  <c r="AA61" i="5"/>
  <c r="AC107" i="5"/>
  <c r="AF107" i="5" s="1"/>
  <c r="AB100" i="5"/>
  <c r="AB95" i="5"/>
  <c r="AC30" i="5"/>
  <c r="AF30" i="5" s="1"/>
  <c r="AB27" i="5"/>
  <c r="AB26" i="5"/>
  <c r="AC19" i="5"/>
  <c r="AF19" i="5" s="1"/>
  <c r="AB17" i="5"/>
  <c r="AC13" i="5"/>
  <c r="AF13" i="5" s="1"/>
  <c r="AC11" i="5"/>
  <c r="AF11" i="5" s="1"/>
  <c r="AB6" i="5"/>
  <c r="AF86" i="5" l="1"/>
  <c r="AF87" i="5"/>
  <c r="AF85" i="5"/>
  <c r="AF84" i="5"/>
  <c r="AJ83" i="5"/>
  <c r="AF83" i="5"/>
  <c r="AJ107" i="5"/>
  <c r="AJ30" i="5"/>
  <c r="AJ19" i="5"/>
  <c r="AJ13" i="5"/>
  <c r="AJ11" i="5"/>
  <c r="AI125" i="5" l="1"/>
  <c r="AM18" i="5" l="1"/>
  <c r="AM212" i="5" l="1"/>
  <c r="AM158" i="5"/>
  <c r="AI158" i="5"/>
  <c r="AE158" i="5"/>
  <c r="AI44" i="5" l="1"/>
  <c r="AI129" i="5" l="1"/>
  <c r="AI124" i="5"/>
  <c r="AI18" i="5"/>
  <c r="AC89" i="5" l="1"/>
  <c r="AJ89" i="5" s="1"/>
  <c r="AC88" i="5"/>
  <c r="AJ88" i="5" s="1"/>
  <c r="AF89" i="5" l="1"/>
  <c r="AF88" i="5"/>
  <c r="AE37" i="5" l="1"/>
  <c r="AE34" i="5"/>
  <c r="AE33" i="5"/>
  <c r="AE38" i="5"/>
  <c r="AM97" i="5" l="1"/>
  <c r="AM94" i="5"/>
  <c r="AM148" i="5"/>
  <c r="AM196" i="5"/>
  <c r="AI148" i="5"/>
  <c r="AE148" i="5"/>
  <c r="AE24" i="5" l="1"/>
  <c r="AE25" i="5"/>
  <c r="AE17" i="5"/>
  <c r="AI100" i="5" l="1"/>
  <c r="AI102" i="5"/>
  <c r="AI43" i="5"/>
  <c r="AI24" i="5" l="1"/>
  <c r="AI34" i="5"/>
  <c r="AI38" i="5"/>
  <c r="AI33" i="5"/>
  <c r="AI17" i="5"/>
  <c r="AE156" i="5"/>
  <c r="AE144" i="5" l="1"/>
  <c r="AE59" i="5"/>
  <c r="AE44" i="5" l="1"/>
  <c r="AE94" i="5" l="1"/>
  <c r="AE48" i="5" l="1"/>
  <c r="AI47" i="5"/>
  <c r="AE47" i="5"/>
  <c r="AE182" i="5"/>
  <c r="AE157" i="5"/>
  <c r="AE155" i="5"/>
  <c r="AE154" i="5"/>
  <c r="AE184" i="5"/>
  <c r="AE152" i="5"/>
  <c r="AE146" i="5"/>
  <c r="AE143" i="5"/>
  <c r="AE186" i="5"/>
  <c r="AC63" i="5" l="1"/>
  <c r="AJ63" i="5" s="1"/>
  <c r="AF63" i="5" l="1"/>
  <c r="AE100" i="5" l="1"/>
  <c r="AE103" i="5"/>
  <c r="AE102" i="5"/>
  <c r="AE136" i="5"/>
  <c r="AE135" i="5"/>
  <c r="AE18" i="5" l="1"/>
  <c r="AE60" i="5"/>
  <c r="AE64" i="5"/>
  <c r="AE72" i="5"/>
  <c r="AE151" i="5"/>
  <c r="AE98" i="5"/>
  <c r="AC120" i="5" l="1"/>
  <c r="AF120" i="5" s="1"/>
  <c r="AJ120" i="5" l="1"/>
  <c r="AI176" i="5" l="1"/>
  <c r="AI115" i="5"/>
  <c r="AI46" i="5"/>
  <c r="AI45" i="5"/>
  <c r="AI99" i="5"/>
  <c r="AI93" i="5"/>
  <c r="AI92" i="5"/>
  <c r="AI66" i="5"/>
  <c r="AI68" i="5"/>
  <c r="AE43" i="5"/>
  <c r="AC37" i="5" l="1"/>
  <c r="AJ37" i="5" s="1"/>
  <c r="AF37" i="5" l="1"/>
  <c r="AM207" i="5"/>
  <c r="AI119" i="5"/>
  <c r="AE115" i="5"/>
  <c r="AE119" i="5"/>
  <c r="AI64" i="5" l="1"/>
  <c r="AI72" i="5"/>
  <c r="AE68" i="5"/>
  <c r="AC25" i="5" l="1"/>
  <c r="AJ25" i="5" l="1"/>
  <c r="AF25" i="5"/>
  <c r="AE176" i="5"/>
  <c r="AC73" i="5" l="1"/>
  <c r="AF73" i="5" s="1"/>
  <c r="AB68" i="5"/>
  <c r="AJ73" i="5" l="1"/>
  <c r="AE99" i="5"/>
  <c r="AE93" i="5" l="1"/>
  <c r="AE92" i="5"/>
  <c r="AE46" i="5" l="1"/>
  <c r="AE45" i="5"/>
  <c r="AE173" i="5" l="1"/>
  <c r="AI173" i="5"/>
  <c r="AC48" i="5" l="1"/>
  <c r="AF48" i="5" s="1"/>
  <c r="AJ48" i="5" l="1"/>
  <c r="AC20" i="5" l="1"/>
  <c r="AJ20" i="5" s="1"/>
  <c r="AF20" i="5" l="1"/>
  <c r="AC12" i="5" l="1"/>
  <c r="AF12" i="5" s="1"/>
  <c r="AJ12" i="5" l="1"/>
  <c r="AI8" i="5"/>
  <c r="AI7" i="5"/>
  <c r="AE142" i="5" l="1"/>
  <c r="AC168" i="5" l="1"/>
  <c r="AJ168" i="5" s="1"/>
  <c r="AF168" i="5" l="1"/>
  <c r="AI207" i="5" l="1"/>
  <c r="AE207" i="5" l="1"/>
  <c r="AM183" i="5" l="1"/>
  <c r="AE8" i="5" l="1"/>
  <c r="AE7" i="5"/>
  <c r="AE210" i="5" s="1"/>
  <c r="AE101" i="5" l="1"/>
  <c r="AE126" i="5"/>
  <c r="AE4" i="5" s="1"/>
  <c r="AE78" i="5"/>
  <c r="AC96" i="5" l="1"/>
  <c r="AJ96" i="5" l="1"/>
  <c r="AF96" i="5"/>
  <c r="AC208" i="5" l="1"/>
  <c r="AJ208" i="5" s="1"/>
  <c r="AF208" i="5" l="1"/>
  <c r="AM173" i="5" l="1"/>
  <c r="AI182" i="5"/>
  <c r="AI213" i="5" l="1"/>
  <c r="AI4" i="5"/>
  <c r="AB147" i="5"/>
  <c r="AM181" i="5" l="1"/>
  <c r="AM4" i="5" s="1"/>
  <c r="AM3" i="5" s="1"/>
  <c r="AM209" i="5" l="1"/>
  <c r="AM213" i="5"/>
  <c r="AC60" i="5"/>
  <c r="AJ60" i="5" s="1"/>
  <c r="AC70" i="5"/>
  <c r="AF60" i="5" l="1"/>
  <c r="AJ70" i="5"/>
  <c r="AF70" i="5"/>
  <c r="AC206" i="5" l="1"/>
  <c r="AF206" i="5" s="1"/>
  <c r="AC173" i="5" l="1"/>
  <c r="AF173" i="5" s="1"/>
  <c r="AJ173" i="5" l="1"/>
  <c r="P6" i="5" l="1"/>
  <c r="AC80" i="5" l="1"/>
  <c r="AJ80" i="5" l="1"/>
  <c r="AF80" i="5"/>
  <c r="P97" i="5"/>
  <c r="P113" i="5" l="1"/>
  <c r="AC207" i="5" l="1"/>
  <c r="AC205" i="5"/>
  <c r="AF205" i="5" s="1"/>
  <c r="AC204" i="5"/>
  <c r="AC203" i="5"/>
  <c r="AC200" i="5"/>
  <c r="AF200" i="5" s="1"/>
  <c r="AC199" i="5"/>
  <c r="AF199" i="5" s="1"/>
  <c r="AC197" i="5"/>
  <c r="AF197" i="5" s="1"/>
  <c r="AC196" i="5"/>
  <c r="AF196" i="5" s="1"/>
  <c r="AC195" i="5"/>
  <c r="AF195" i="5" s="1"/>
  <c r="AC194" i="5"/>
  <c r="AF194" i="5" s="1"/>
  <c r="AC193" i="5"/>
  <c r="AF193" i="5" s="1"/>
  <c r="AC192" i="5"/>
  <c r="AF192" i="5" s="1"/>
  <c r="AC191" i="5"/>
  <c r="AF191" i="5" s="1"/>
  <c r="AC190" i="5"/>
  <c r="AF190" i="5" s="1"/>
  <c r="AC189" i="5"/>
  <c r="AF189" i="5" s="1"/>
  <c r="AC188" i="5"/>
  <c r="AF188" i="5" s="1"/>
  <c r="AC187" i="5"/>
  <c r="AF187" i="5" s="1"/>
  <c r="AC186" i="5"/>
  <c r="AF186" i="5" s="1"/>
  <c r="AC185" i="5"/>
  <c r="AF185" i="5" s="1"/>
  <c r="AC184" i="5"/>
  <c r="AF184" i="5" s="1"/>
  <c r="AC183" i="5"/>
  <c r="AF183" i="5" s="1"/>
  <c r="AC182" i="5"/>
  <c r="AF182" i="5" s="1"/>
  <c r="AC181" i="5"/>
  <c r="AF181" i="5" s="1"/>
  <c r="AC180" i="5"/>
  <c r="AF180" i="5" s="1"/>
  <c r="AC179" i="5"/>
  <c r="AF179" i="5" s="1"/>
  <c r="AC178" i="5"/>
  <c r="AC174" i="5"/>
  <c r="AF174" i="5" s="1"/>
  <c r="AC170" i="5"/>
  <c r="AC164" i="5"/>
  <c r="AF164" i="5" s="1"/>
  <c r="AC163" i="5"/>
  <c r="AF163" i="5" s="1"/>
  <c r="AC162" i="5"/>
  <c r="AF162" i="5" s="1"/>
  <c r="AC161" i="5"/>
  <c r="AF161" i="5" s="1"/>
  <c r="AC160" i="5"/>
  <c r="AF160" i="5" s="1"/>
  <c r="AC159" i="5"/>
  <c r="AF159" i="5" s="1"/>
  <c r="AC158" i="5"/>
  <c r="AF158" i="5" s="1"/>
  <c r="AC157" i="5"/>
  <c r="AF157" i="5" s="1"/>
  <c r="AC156" i="5"/>
  <c r="AF156" i="5" s="1"/>
  <c r="AC155" i="5"/>
  <c r="AF155" i="5" s="1"/>
  <c r="AC154" i="5"/>
  <c r="AF154" i="5" s="1"/>
  <c r="AC152" i="5"/>
  <c r="AF152" i="5" s="1"/>
  <c r="AC151" i="5"/>
  <c r="AF151" i="5" s="1"/>
  <c r="AC150" i="5"/>
  <c r="AF150" i="5" s="1"/>
  <c r="AC149" i="5"/>
  <c r="AF149" i="5" s="1"/>
  <c r="AC148" i="5"/>
  <c r="AF148" i="5" s="1"/>
  <c r="AC147" i="5"/>
  <c r="AF147" i="5" s="1"/>
  <c r="AC146" i="5"/>
  <c r="AF146" i="5" s="1"/>
  <c r="AC145" i="5"/>
  <c r="AF145" i="5" s="1"/>
  <c r="AC144" i="5"/>
  <c r="AF144" i="5" s="1"/>
  <c r="AC143" i="5"/>
  <c r="AF143" i="5" s="1"/>
  <c r="AC142" i="5"/>
  <c r="AC140" i="5"/>
  <c r="AC139" i="5"/>
  <c r="AC138" i="5"/>
  <c r="AC137" i="5"/>
  <c r="AC136" i="5"/>
  <c r="AC134" i="5"/>
  <c r="AC132" i="5"/>
  <c r="AC131" i="5"/>
  <c r="AC130" i="5"/>
  <c r="AC128" i="5"/>
  <c r="AC127" i="5"/>
  <c r="AC126" i="5"/>
  <c r="AC122" i="5"/>
  <c r="AC118" i="5"/>
  <c r="AC117" i="5"/>
  <c r="AC116" i="5"/>
  <c r="AC113" i="5"/>
  <c r="AC111" i="5"/>
  <c r="AC110" i="5"/>
  <c r="AC109" i="5"/>
  <c r="AC108" i="5"/>
  <c r="AC106" i="5"/>
  <c r="AC105" i="5"/>
  <c r="AC103" i="5"/>
  <c r="AC102" i="5"/>
  <c r="AC100" i="5"/>
  <c r="AC98" i="5"/>
  <c r="AC97" i="5"/>
  <c r="AC91" i="5"/>
  <c r="AC90" i="5"/>
  <c r="AC82" i="5"/>
  <c r="AC81" i="5"/>
  <c r="AC79" i="5"/>
  <c r="AC78" i="5"/>
  <c r="AC77" i="5"/>
  <c r="AC76" i="5"/>
  <c r="AC72" i="5"/>
  <c r="AC62" i="5"/>
  <c r="AC61" i="5"/>
  <c r="AC59" i="5"/>
  <c r="AC57" i="5"/>
  <c r="AC50" i="5"/>
  <c r="AC49" i="5"/>
  <c r="AC42" i="5"/>
  <c r="AC36" i="5"/>
  <c r="AC32" i="5"/>
  <c r="AC31" i="5"/>
  <c r="AC29" i="5"/>
  <c r="AC23" i="5"/>
  <c r="AC22" i="5"/>
  <c r="AC18" i="5"/>
  <c r="AJ18" i="5" s="1"/>
  <c r="AC16" i="5"/>
  <c r="AC14" i="5"/>
  <c r="AC10" i="5"/>
  <c r="AF10" i="5" s="1"/>
  <c r="AC9" i="5"/>
  <c r="AC8" i="5"/>
  <c r="AC6" i="5"/>
  <c r="P202" i="5"/>
  <c r="AC202" i="5" s="1"/>
  <c r="AF202" i="5" s="1"/>
  <c r="P201" i="5"/>
  <c r="AC201" i="5" s="1"/>
  <c r="AF201" i="5" s="1"/>
  <c r="AC177" i="5"/>
  <c r="AF177" i="5" s="1"/>
  <c r="P176" i="5"/>
  <c r="AC176" i="5" s="1"/>
  <c r="AF176" i="5" s="1"/>
  <c r="P175" i="5"/>
  <c r="AC175" i="5" s="1"/>
  <c r="AF175" i="5" s="1"/>
  <c r="P172" i="5"/>
  <c r="P171" i="5"/>
  <c r="AC171" i="5" s="1"/>
  <c r="AF171" i="5" s="1"/>
  <c r="P169" i="5"/>
  <c r="AC169" i="5" s="1"/>
  <c r="AC167" i="5"/>
  <c r="AF167" i="5" s="1"/>
  <c r="AC166" i="5"/>
  <c r="AF166" i="5" s="1"/>
  <c r="P165" i="5"/>
  <c r="AC165" i="5" s="1"/>
  <c r="AF165" i="5" s="1"/>
  <c r="P153" i="5"/>
  <c r="AC153" i="5" s="1"/>
  <c r="P141" i="5"/>
  <c r="AC141" i="5" s="1"/>
  <c r="P135" i="5"/>
  <c r="AC135" i="5" s="1"/>
  <c r="P133" i="5"/>
  <c r="AC133" i="5" s="1"/>
  <c r="P129" i="5"/>
  <c r="AC129" i="5" s="1"/>
  <c r="P125" i="5"/>
  <c r="AC125" i="5" s="1"/>
  <c r="P124" i="5"/>
  <c r="AC124" i="5" s="1"/>
  <c r="P119" i="5"/>
  <c r="AC119" i="5" s="1"/>
  <c r="P115" i="5"/>
  <c r="AC115" i="5" s="1"/>
  <c r="P114" i="5"/>
  <c r="AC114" i="5" s="1"/>
  <c r="P112" i="5"/>
  <c r="P104" i="5"/>
  <c r="AC104" i="5" s="1"/>
  <c r="P101" i="5"/>
  <c r="AC101" i="5" s="1"/>
  <c r="P99" i="5"/>
  <c r="AC99" i="5" s="1"/>
  <c r="P95" i="5"/>
  <c r="AC95" i="5" s="1"/>
  <c r="P94" i="5"/>
  <c r="AC94" i="5" s="1"/>
  <c r="P93" i="5"/>
  <c r="AC93" i="5" s="1"/>
  <c r="P92" i="5"/>
  <c r="AC92" i="5" s="1"/>
  <c r="P75" i="5"/>
  <c r="AC75" i="5" s="1"/>
  <c r="P74" i="5"/>
  <c r="AC74" i="5" s="1"/>
  <c r="P71" i="5"/>
  <c r="AC71" i="5" s="1"/>
  <c r="P68" i="5"/>
  <c r="AC68" i="5" s="1"/>
  <c r="P66" i="5"/>
  <c r="AC66" i="5" s="1"/>
  <c r="P64" i="5"/>
  <c r="AC64" i="5" s="1"/>
  <c r="AJ64" i="5" s="1"/>
  <c r="P47" i="5"/>
  <c r="AC47" i="5" s="1"/>
  <c r="AJ47" i="5" s="1"/>
  <c r="P46" i="5"/>
  <c r="AC46" i="5" s="1"/>
  <c r="P45" i="5"/>
  <c r="AC45" i="5" s="1"/>
  <c r="P44" i="5"/>
  <c r="AC44" i="5" s="1"/>
  <c r="AJ44" i="5" s="1"/>
  <c r="P43" i="5"/>
  <c r="AC43" i="5" s="1"/>
  <c r="P40" i="5"/>
  <c r="AC40" i="5" s="1"/>
  <c r="P38" i="5"/>
  <c r="AC38" i="5" s="1"/>
  <c r="P35" i="5"/>
  <c r="P34" i="5"/>
  <c r="AC34" i="5" s="1"/>
  <c r="P33" i="5"/>
  <c r="AC33" i="5" s="1"/>
  <c r="P28" i="5"/>
  <c r="AC28" i="5" s="1"/>
  <c r="P27" i="5"/>
  <c r="AC27" i="5" s="1"/>
  <c r="P26" i="5"/>
  <c r="AC26" i="5" s="1"/>
  <c r="P24" i="5"/>
  <c r="AC24" i="5" s="1"/>
  <c r="P17" i="5"/>
  <c r="AC17" i="5" s="1"/>
  <c r="P7" i="5"/>
  <c r="AC7" i="5" s="1"/>
  <c r="AC112" i="5" l="1"/>
  <c r="AF112" i="5" s="1"/>
  <c r="P4" i="5"/>
  <c r="AC35" i="5"/>
  <c r="AJ35" i="5" s="1"/>
  <c r="AF178" i="5"/>
  <c r="AJ178" i="5"/>
  <c r="AF47" i="5"/>
  <c r="AF170" i="5"/>
  <c r="AJ170" i="5"/>
  <c r="AF169" i="5"/>
  <c r="AJ169" i="5"/>
  <c r="N2" i="5"/>
  <c r="O2" i="5" s="1"/>
  <c r="AJ166" i="5"/>
  <c r="AF7" i="5"/>
  <c r="AJ7" i="5"/>
  <c r="AF44" i="5"/>
  <c r="AJ74" i="5"/>
  <c r="AF74" i="5"/>
  <c r="AJ104" i="5"/>
  <c r="AF104" i="5"/>
  <c r="AJ165" i="5"/>
  <c r="AJ171" i="5"/>
  <c r="AJ177" i="5"/>
  <c r="AF8" i="5"/>
  <c r="AJ8" i="5"/>
  <c r="AJ16" i="5"/>
  <c r="AF16" i="5"/>
  <c r="AJ29" i="5"/>
  <c r="AF29" i="5"/>
  <c r="AJ42" i="5"/>
  <c r="AF42" i="5"/>
  <c r="AJ59" i="5"/>
  <c r="AF59" i="5"/>
  <c r="AJ76" i="5"/>
  <c r="AF76" i="5"/>
  <c r="AJ81" i="5"/>
  <c r="AF81" i="5"/>
  <c r="AF97" i="5"/>
  <c r="AJ97" i="5"/>
  <c r="AJ103" i="5"/>
  <c r="AF103" i="5"/>
  <c r="AJ109" i="5"/>
  <c r="AF109" i="5"/>
  <c r="AJ114" i="5"/>
  <c r="AF114" i="5"/>
  <c r="AJ122" i="5"/>
  <c r="AF122" i="5"/>
  <c r="AJ130" i="5"/>
  <c r="AF130" i="5"/>
  <c r="AJ136" i="5"/>
  <c r="AF136" i="5"/>
  <c r="AJ140" i="5"/>
  <c r="AF140" i="5"/>
  <c r="AJ145" i="5"/>
  <c r="AJ149" i="5"/>
  <c r="AJ154" i="5"/>
  <c r="AJ158" i="5"/>
  <c r="AJ162" i="5"/>
  <c r="AJ174" i="5"/>
  <c r="AJ181" i="5"/>
  <c r="AJ185" i="5"/>
  <c r="AJ189" i="5"/>
  <c r="AJ193" i="5"/>
  <c r="AJ197" i="5"/>
  <c r="AJ204" i="5"/>
  <c r="AF204" i="5"/>
  <c r="AJ17" i="5"/>
  <c r="AF17" i="5"/>
  <c r="AJ28" i="5"/>
  <c r="AF28" i="5"/>
  <c r="AJ38" i="5"/>
  <c r="AF38" i="5"/>
  <c r="AJ45" i="5"/>
  <c r="AF45" i="5"/>
  <c r="AJ66" i="5"/>
  <c r="AF66" i="5"/>
  <c r="AJ75" i="5"/>
  <c r="AF75" i="5"/>
  <c r="AJ95" i="5"/>
  <c r="AF95" i="5"/>
  <c r="AJ124" i="5"/>
  <c r="AF124" i="5"/>
  <c r="AJ135" i="5"/>
  <c r="AF135" i="5"/>
  <c r="AJ201" i="5"/>
  <c r="AJ9" i="5"/>
  <c r="AF9" i="5"/>
  <c r="AF18" i="5"/>
  <c r="AJ31" i="5"/>
  <c r="AF31" i="5"/>
  <c r="AJ49" i="5"/>
  <c r="AF49" i="5"/>
  <c r="AF61" i="5"/>
  <c r="AJ61" i="5"/>
  <c r="AJ77" i="5"/>
  <c r="AF77" i="5"/>
  <c r="AJ82" i="5"/>
  <c r="AF82" i="5"/>
  <c r="AJ98" i="5"/>
  <c r="AF98" i="5"/>
  <c r="AJ105" i="5"/>
  <c r="AF105" i="5"/>
  <c r="AJ110" i="5"/>
  <c r="AF110" i="5"/>
  <c r="AJ116" i="5"/>
  <c r="AF116" i="5"/>
  <c r="AJ126" i="5"/>
  <c r="AF126" i="5"/>
  <c r="AJ131" i="5"/>
  <c r="AF131" i="5"/>
  <c r="AJ137" i="5"/>
  <c r="AF137" i="5"/>
  <c r="AJ142" i="5"/>
  <c r="AF142" i="5"/>
  <c r="AJ146" i="5"/>
  <c r="AJ150" i="5"/>
  <c r="AJ155" i="5"/>
  <c r="AJ159" i="5"/>
  <c r="AJ163" i="5"/>
  <c r="AJ182" i="5"/>
  <c r="AJ186" i="5"/>
  <c r="AJ190" i="5"/>
  <c r="AJ194" i="5"/>
  <c r="AJ199" i="5"/>
  <c r="AJ205" i="5"/>
  <c r="AJ27" i="5"/>
  <c r="AF27" i="5"/>
  <c r="AF64" i="5"/>
  <c r="AJ133" i="5"/>
  <c r="AF133" i="5"/>
  <c r="AF33" i="5"/>
  <c r="AJ33" i="5"/>
  <c r="AJ46" i="5"/>
  <c r="AF46" i="5"/>
  <c r="AJ92" i="5"/>
  <c r="AF92" i="5"/>
  <c r="AJ125" i="5"/>
  <c r="AF125" i="5"/>
  <c r="AJ175" i="5"/>
  <c r="AF32" i="5"/>
  <c r="AJ32" i="5"/>
  <c r="AJ132" i="5"/>
  <c r="AF132" i="5"/>
  <c r="AJ94" i="5"/>
  <c r="AF94" i="5"/>
  <c r="AJ119" i="5"/>
  <c r="AF119" i="5"/>
  <c r="AJ24" i="5"/>
  <c r="AF24" i="5"/>
  <c r="AJ40" i="5"/>
  <c r="AF40" i="5"/>
  <c r="AJ68" i="5"/>
  <c r="AF68" i="5"/>
  <c r="AJ99" i="5"/>
  <c r="AF99" i="5"/>
  <c r="AJ141" i="5"/>
  <c r="AF141" i="5"/>
  <c r="AJ167" i="5"/>
  <c r="AJ202" i="5"/>
  <c r="AJ10" i="5"/>
  <c r="AJ22" i="5"/>
  <c r="AF22" i="5"/>
  <c r="AJ50" i="5"/>
  <c r="AF50" i="5"/>
  <c r="AJ62" i="5"/>
  <c r="AF62" i="5"/>
  <c r="AJ78" i="5"/>
  <c r="AF78" i="5"/>
  <c r="AJ90" i="5"/>
  <c r="AF90" i="5"/>
  <c r="AJ100" i="5"/>
  <c r="AF100" i="5"/>
  <c r="AJ106" i="5"/>
  <c r="AF106" i="5"/>
  <c r="AJ111" i="5"/>
  <c r="AF111" i="5"/>
  <c r="AJ117" i="5"/>
  <c r="AF117" i="5"/>
  <c r="AJ127" i="5"/>
  <c r="AF127" i="5"/>
  <c r="AF138" i="5"/>
  <c r="AJ138" i="5"/>
  <c r="AJ143" i="5"/>
  <c r="AJ147" i="5"/>
  <c r="AJ151" i="5"/>
  <c r="AJ156" i="5"/>
  <c r="AJ160" i="5"/>
  <c r="AJ164" i="5"/>
  <c r="AJ179" i="5"/>
  <c r="AJ183" i="5"/>
  <c r="AJ187" i="5"/>
  <c r="AJ191" i="5"/>
  <c r="AJ195" i="5"/>
  <c r="AJ200" i="5"/>
  <c r="AJ206" i="5"/>
  <c r="AJ26" i="5"/>
  <c r="AF26" i="5"/>
  <c r="AJ34" i="5"/>
  <c r="AF34" i="5"/>
  <c r="AJ43" i="5"/>
  <c r="AF43" i="5"/>
  <c r="AJ71" i="5"/>
  <c r="AF71" i="5"/>
  <c r="AJ93" i="5"/>
  <c r="AF93" i="5"/>
  <c r="AJ101" i="5"/>
  <c r="AF101" i="5"/>
  <c r="AJ115" i="5"/>
  <c r="AF115" i="5"/>
  <c r="AJ129" i="5"/>
  <c r="AF129" i="5"/>
  <c r="AJ176" i="5"/>
  <c r="AJ6" i="5"/>
  <c r="AF6" i="5"/>
  <c r="AJ14" i="5"/>
  <c r="AF14" i="5"/>
  <c r="AJ23" i="5"/>
  <c r="AF23" i="5"/>
  <c r="AJ36" i="5"/>
  <c r="AF36" i="5"/>
  <c r="AJ57" i="5"/>
  <c r="AF57" i="5"/>
  <c r="AJ72" i="5"/>
  <c r="AF72" i="5"/>
  <c r="AJ79" i="5"/>
  <c r="AF79" i="5"/>
  <c r="AJ91" i="5"/>
  <c r="AF91" i="5"/>
  <c r="AJ102" i="5"/>
  <c r="AF102" i="5"/>
  <c r="AJ108" i="5"/>
  <c r="AF108" i="5"/>
  <c r="AJ113" i="5"/>
  <c r="AF113" i="5"/>
  <c r="AJ118" i="5"/>
  <c r="AF118" i="5"/>
  <c r="AJ128" i="5"/>
  <c r="AF128" i="5"/>
  <c r="AJ134" i="5"/>
  <c r="AF134" i="5"/>
  <c r="AJ139" i="5"/>
  <c r="AF139" i="5"/>
  <c r="AJ144" i="5"/>
  <c r="AJ148" i="5"/>
  <c r="AJ152" i="5"/>
  <c r="AJ157" i="5"/>
  <c r="AJ161" i="5"/>
  <c r="AJ180" i="5"/>
  <c r="AJ184" i="5"/>
  <c r="AJ188" i="5"/>
  <c r="AJ192" i="5"/>
  <c r="AJ196" i="5"/>
  <c r="AJ203" i="5"/>
  <c r="AF203" i="5"/>
  <c r="AJ207" i="5"/>
  <c r="AF207" i="5"/>
  <c r="AC172" i="5"/>
  <c r="AF172" i="5" s="1"/>
  <c r="AF153" i="5"/>
  <c r="K2" i="5"/>
  <c r="L2" i="5" s="1"/>
  <c r="G8" i="7"/>
  <c r="G9" i="7"/>
  <c r="G10" i="7"/>
  <c r="G11" i="7"/>
  <c r="G12" i="7"/>
  <c r="G13" i="7"/>
  <c r="G14" i="7"/>
  <c r="G7" i="7"/>
  <c r="F7" i="7"/>
  <c r="F8" i="7"/>
  <c r="F9" i="7"/>
  <c r="F10" i="7"/>
  <c r="F11" i="7"/>
  <c r="F12" i="7"/>
  <c r="F13" i="7"/>
  <c r="F14" i="7"/>
  <c r="K104" i="6"/>
  <c r="J104" i="6"/>
  <c r="I104" i="6"/>
  <c r="H104" i="6"/>
  <c r="L103" i="6"/>
  <c r="G103" i="6"/>
  <c r="L102" i="6"/>
  <c r="G102" i="6"/>
  <c r="L101" i="6"/>
  <c r="G101" i="6"/>
  <c r="L100" i="6"/>
  <c r="G100" i="6"/>
  <c r="L99" i="6"/>
  <c r="G99" i="6"/>
  <c r="L98" i="6"/>
  <c r="G98" i="6"/>
  <c r="L97" i="6"/>
  <c r="G97" i="6"/>
  <c r="L96" i="6"/>
  <c r="G96" i="6"/>
  <c r="L95" i="6"/>
  <c r="G95" i="6"/>
  <c r="L94" i="6"/>
  <c r="G94" i="6"/>
  <c r="L93" i="6"/>
  <c r="G93" i="6"/>
  <c r="L92" i="6"/>
  <c r="G92" i="6"/>
  <c r="L91" i="6"/>
  <c r="G91" i="6"/>
  <c r="L90" i="6"/>
  <c r="G90" i="6"/>
  <c r="L89" i="6"/>
  <c r="G89" i="6"/>
  <c r="L88" i="6"/>
  <c r="G88" i="6"/>
  <c r="L87" i="6"/>
  <c r="G87" i="6"/>
  <c r="L86" i="6"/>
  <c r="G86" i="6"/>
  <c r="L85" i="6"/>
  <c r="G85" i="6"/>
  <c r="G84" i="6"/>
  <c r="L83" i="6"/>
  <c r="G83" i="6"/>
  <c r="L82" i="6"/>
  <c r="G82" i="6"/>
  <c r="L81" i="6"/>
  <c r="G81" i="6"/>
  <c r="L80" i="6"/>
  <c r="G80" i="6"/>
  <c r="L79" i="6"/>
  <c r="G79" i="6"/>
  <c r="L78" i="6"/>
  <c r="G78" i="6"/>
  <c r="L77" i="6"/>
  <c r="G77" i="6"/>
  <c r="L76" i="6"/>
  <c r="G76" i="6"/>
  <c r="L75" i="6"/>
  <c r="G75" i="6"/>
  <c r="L74" i="6"/>
  <c r="G74" i="6"/>
  <c r="L73" i="6"/>
  <c r="G73" i="6"/>
  <c r="L72" i="6"/>
  <c r="G72" i="6"/>
  <c r="L71" i="6"/>
  <c r="G71" i="6"/>
  <c r="L70" i="6"/>
  <c r="G70" i="6"/>
  <c r="K69" i="6"/>
  <c r="J69" i="6"/>
  <c r="I69" i="6"/>
  <c r="H69" i="6"/>
  <c r="L68" i="6"/>
  <c r="G68" i="6"/>
  <c r="L67" i="6"/>
  <c r="G67" i="6"/>
  <c r="L66" i="6"/>
  <c r="G66" i="6"/>
  <c r="L65" i="6"/>
  <c r="G65" i="6"/>
  <c r="L64" i="6"/>
  <c r="G64" i="6"/>
  <c r="L63" i="6"/>
  <c r="G63" i="6"/>
  <c r="L62" i="6"/>
  <c r="G62" i="6"/>
  <c r="L61" i="6"/>
  <c r="G61" i="6"/>
  <c r="L60" i="6"/>
  <c r="G60" i="6"/>
  <c r="L59" i="6"/>
  <c r="G59" i="6"/>
  <c r="L58" i="6"/>
  <c r="G58" i="6"/>
  <c r="L57" i="6"/>
  <c r="G57" i="6"/>
  <c r="L56" i="6"/>
  <c r="G56" i="6"/>
  <c r="L55" i="6"/>
  <c r="G55" i="6"/>
  <c r="L54" i="6"/>
  <c r="G54" i="6"/>
  <c r="L53" i="6"/>
  <c r="G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G31" i="6"/>
  <c r="L30" i="6"/>
  <c r="G30" i="6"/>
  <c r="L29" i="6"/>
  <c r="G29" i="6"/>
  <c r="AJ112" i="5" l="1"/>
  <c r="AC4" i="5"/>
  <c r="AF35" i="5"/>
  <c r="AJ153" i="5"/>
  <c r="AJ172" i="5"/>
  <c r="L104" i="6"/>
  <c r="L69" i="6"/>
  <c r="G104" i="6"/>
  <c r="G69" i="6"/>
  <c r="H27" i="6" l="1"/>
  <c r="I27" i="6"/>
  <c r="J27" i="6"/>
  <c r="K27" i="6"/>
  <c r="L26" i="6"/>
  <c r="G26" i="6"/>
  <c r="L25" i="6"/>
  <c r="G25" i="6"/>
  <c r="L24" i="6"/>
  <c r="G24" i="6"/>
  <c r="L23" i="6"/>
  <c r="G23" i="6"/>
  <c r="L22" i="6"/>
  <c r="G22" i="6"/>
  <c r="L21" i="6"/>
  <c r="G21" i="6"/>
  <c r="L20" i="6"/>
  <c r="G20" i="6"/>
  <c r="L19" i="6"/>
  <c r="G19" i="6"/>
  <c r="G17" i="6"/>
  <c r="G16" i="6"/>
  <c r="G15" i="6"/>
  <c r="G14" i="6"/>
  <c r="G13" i="6"/>
  <c r="G12" i="6"/>
  <c r="G11" i="6"/>
  <c r="G10" i="6"/>
  <c r="G9" i="6"/>
  <c r="G8" i="6"/>
  <c r="G7" i="6"/>
  <c r="G6" i="6"/>
  <c r="G5" i="6"/>
  <c r="G4" i="6"/>
  <c r="G3" i="6"/>
  <c r="G2" i="6"/>
  <c r="K18" i="6"/>
  <c r="J18" i="6"/>
  <c r="I18" i="6"/>
  <c r="H18" i="6"/>
  <c r="L17" i="6"/>
  <c r="L16" i="6"/>
  <c r="L15" i="6"/>
  <c r="L14" i="6"/>
  <c r="L13" i="6"/>
  <c r="L12" i="6"/>
  <c r="L11" i="6"/>
  <c r="L10" i="6"/>
  <c r="L9" i="6"/>
  <c r="L8" i="6"/>
  <c r="L7" i="6"/>
  <c r="L6" i="6"/>
  <c r="L5" i="6"/>
  <c r="L4" i="6"/>
  <c r="L3" i="6"/>
  <c r="L2" i="6"/>
  <c r="L27" i="6" l="1"/>
  <c r="G27" i="6"/>
  <c r="G18" i="6"/>
  <c r="L18" i="6"/>
  <c r="C2" i="5" l="1"/>
  <c r="D2" i="5" s="1"/>
  <c r="G2" i="5" l="1"/>
  <c r="H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Sara Paola Rivera Moreno</author>
    <author>USUARIO</author>
  </authors>
  <commentList>
    <comment ref="H5" authorId="0" shapeId="0" xr:uid="{00000000-0006-0000-0000-000001000000}">
      <text>
        <r>
          <rPr>
            <b/>
            <sz val="14"/>
            <color indexed="81"/>
            <rFont val="Tahoma"/>
            <family val="2"/>
          </rPr>
          <t>OAP: Por favor detalle los elementos a adquirir</t>
        </r>
        <r>
          <rPr>
            <sz val="14"/>
            <color indexed="81"/>
            <rFont val="Tahoma"/>
            <family val="2"/>
          </rPr>
          <t xml:space="preserve">
</t>
        </r>
      </text>
    </comment>
    <comment ref="K5" authorId="1" shapeId="0" xr:uid="{00000000-0006-0000-0000-000002000000}">
      <text>
        <r>
          <rPr>
            <b/>
            <sz val="9"/>
            <color indexed="81"/>
            <rFont val="Tahoma"/>
            <family val="2"/>
          </rPr>
          <t>OAP:</t>
        </r>
        <r>
          <rPr>
            <sz val="9"/>
            <color indexed="81"/>
            <rFont val="Tahoma"/>
            <family val="2"/>
          </rPr>
          <t xml:space="preserve">
Colocar solo el número del mes. Ej: noviembre - 11</t>
        </r>
      </text>
    </comment>
    <comment ref="X5" authorId="2" shapeId="0" xr:uid="{00000000-0006-0000-0000-000003000000}">
      <text>
        <r>
          <rPr>
            <b/>
            <sz val="14"/>
            <color indexed="81"/>
            <rFont val="Tahoma"/>
            <family val="2"/>
          </rPr>
          <t>OAP: Seleccione una opción de lo que se encuentra en la lista</t>
        </r>
        <r>
          <rPr>
            <sz val="9"/>
            <color indexed="81"/>
            <rFont val="Tahoma"/>
            <family val="2"/>
          </rPr>
          <t xml:space="preserve">
</t>
        </r>
      </text>
    </comment>
  </commentList>
</comments>
</file>

<file path=xl/sharedStrings.xml><?xml version="1.0" encoding="utf-8"?>
<sst xmlns="http://schemas.openxmlformats.org/spreadsheetml/2006/main" count="4746" uniqueCount="1002">
  <si>
    <t>Producir y emitir contenidos radiales para promover la inclusión de las personas con discapacidad visual</t>
  </si>
  <si>
    <t>No aplica</t>
  </si>
  <si>
    <t>Código UNSPSC (En caso de varios códigos, deben ir separados por ;)</t>
  </si>
  <si>
    <t>Mes presentación de ofertas</t>
  </si>
  <si>
    <t>Duración estimada del contrato (Número de meses o días)</t>
  </si>
  <si>
    <t>Fuente de los recursos</t>
  </si>
  <si>
    <t>Nombre del jefe de la dependencia</t>
  </si>
  <si>
    <t xml:space="preserve">Teléfono del responsable </t>
  </si>
  <si>
    <t>Correo electrónico del jefe de la dependencia</t>
  </si>
  <si>
    <t>Tipo de objeto de Gasto</t>
  </si>
  <si>
    <t>Nombre del Supervisor</t>
  </si>
  <si>
    <t>Contratar servicio de salud ocupacional y laboral</t>
  </si>
  <si>
    <t>Contrato de prestación de servicios para fortalecer las capacidades, conocimientos y habilidades de los servidores públicos</t>
  </si>
  <si>
    <t>86101705;
86101810</t>
  </si>
  <si>
    <t>Servicios de Bienestar</t>
  </si>
  <si>
    <t xml:space="preserve">Elementos de protección personal </t>
  </si>
  <si>
    <t>Adquisición de los insumos para botiquines</t>
  </si>
  <si>
    <t>GG-03</t>
  </si>
  <si>
    <t>GG-09</t>
  </si>
  <si>
    <t>GG-10</t>
  </si>
  <si>
    <t xml:space="preserve">GG-11 </t>
  </si>
  <si>
    <t>GG-12</t>
  </si>
  <si>
    <t>Darío Montañez</t>
  </si>
  <si>
    <t>secretariageneral@inci.gov.co</t>
  </si>
  <si>
    <t>MÍnima Cuantía</t>
  </si>
  <si>
    <t>Contratación directa</t>
  </si>
  <si>
    <t>SERVICIO</t>
  </si>
  <si>
    <t>SUMINISTRO</t>
  </si>
  <si>
    <t>FP-02</t>
  </si>
  <si>
    <t>Contrato de prestación de servicios técnicos para la gestión documental</t>
  </si>
  <si>
    <t>Profesional especializado 2028 Grado 20 Gestión Humana</t>
  </si>
  <si>
    <t>Técnico Operativo 3132 Grado 15</t>
  </si>
  <si>
    <t>Gestión Humana</t>
  </si>
  <si>
    <t>Proceso Responsable</t>
  </si>
  <si>
    <t>CCP</t>
  </si>
  <si>
    <t>NOMBRE CATALOGO CUENTAS PRESUPUESTAL</t>
  </si>
  <si>
    <t>Descripción del concepto</t>
  </si>
  <si>
    <t>A-02-02-01-000-001</t>
  </si>
  <si>
    <t>PRODUCTOS DE LA AGRICULTURA Y LA HORTICULTURA</t>
  </si>
  <si>
    <t>GG-02</t>
  </si>
  <si>
    <t>Plantas aromáticas, bebestibles y especias</t>
  </si>
  <si>
    <t>Gladys Pardo</t>
  </si>
  <si>
    <t>A-02-02-01-002-003</t>
  </si>
  <si>
    <t>PRODUCTOS DE MOLINERÍA, ALMIDONES Y PRODUCTOS DERIVADOS DEL ALMIDÓN; OTROS PRODUCTOS ALIMENTICIOS</t>
  </si>
  <si>
    <t xml:space="preserve">Caja menor productos cafetería y restaurante </t>
  </si>
  <si>
    <t>No es contrato</t>
  </si>
  <si>
    <t>CAJA MENOR</t>
  </si>
  <si>
    <t>Azúcar</t>
  </si>
  <si>
    <t>Café</t>
  </si>
  <si>
    <t>A-02-02-01-003-002</t>
  </si>
  <si>
    <t>PASTA O PULPA, PAPEL Y PRODUCTOS DE PAPEL; IMPRESOS Y ARTÍCULOS RELACIONADOS</t>
  </si>
  <si>
    <t>GG-04</t>
  </si>
  <si>
    <t>Caja Menor  Papeleria, utiles escritorio y oficina</t>
  </si>
  <si>
    <t>N/A</t>
  </si>
  <si>
    <t xml:space="preserve">Adquisición de Papel bond oficina, cajas, carpetas </t>
  </si>
  <si>
    <t>14101501;
60121124;
14111507;
44122003;
44111515</t>
  </si>
  <si>
    <t>MATERIALES Y SUMINISTROS</t>
  </si>
  <si>
    <t>A-02-02-01-003-005</t>
  </si>
  <si>
    <t>OTROS PRODUCTOS QUÍMICOS; FIBRAS ARTIFICIALES (O FIBRAS INDUSTRIALES HECHAS POR EL HOMBRE)</t>
  </si>
  <si>
    <t>Toner impresoras</t>
  </si>
  <si>
    <t xml:space="preserve">A-02-02-01-003-006  </t>
  </si>
  <si>
    <t>PRODUCTOS DE CAUCHO Y PLÁSTICO</t>
  </si>
  <si>
    <t xml:space="preserve">Suministros de escritorio ( ganchos, esferos, lapices, cosedoras etc) </t>
  </si>
  <si>
    <t>44121702;
27112309;
42312009</t>
  </si>
  <si>
    <t>Papel higiénico, servilletas, toallas papel, vasos de cartón</t>
  </si>
  <si>
    <t>14111704;
14111705</t>
  </si>
  <si>
    <t>A-02-02-01-003-003</t>
  </si>
  <si>
    <t>PRODUCTOS DE HORNOS DE COQUE; PRODUCTOS DE REFINACIÓN DE PETRÓLEO Y COMBUSTIBLE NUCLEAR</t>
  </si>
  <si>
    <t>Diesel combustible vehiculo</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</si>
  <si>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</si>
  <si>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</si>
  <si>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</si>
  <si>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</si>
  <si>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</si>
  <si>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A-02-02-02-006-004</t>
  </si>
  <si>
    <t>SERVICIOS DE TRANSPORTE DE PASAJEROS</t>
  </si>
  <si>
    <t>GG-07</t>
  </si>
  <si>
    <t>Caja Menor - Transporte</t>
  </si>
  <si>
    <t>A-02-02-02-006-009</t>
  </si>
  <si>
    <t>SERVICIOS DE DISTRIBUCIÓN DE ELECTRICIDAD, GAS Y AGUA (POR CUENTA PROPIA)</t>
  </si>
  <si>
    <t>Servicio Público Energia</t>
  </si>
  <si>
    <t xml:space="preserve">Servicio Público Agua </t>
  </si>
  <si>
    <t>A-02-02-02-007-001</t>
  </si>
  <si>
    <t>SERVICIOS FINANCIEROS Y SERVICIOS CONEXOS</t>
  </si>
  <si>
    <t>GG-08</t>
  </si>
  <si>
    <t xml:space="preserve">SEGUROS </t>
  </si>
  <si>
    <t>Menor Cuantía</t>
  </si>
  <si>
    <t xml:space="preserve">SEGUROS VIGENCIA FUTURA </t>
  </si>
  <si>
    <t>A-02-02-02-008-002</t>
  </si>
  <si>
    <t>Caja menor, gastos judiciales</t>
  </si>
  <si>
    <t>A-02-02-02-008-003</t>
  </si>
  <si>
    <t>OTROS SERVICIOS PROFESIONALES, CIENTÍFICOS Y TÉCNICOS</t>
  </si>
  <si>
    <t>Prestación de servicios profesionales en actividades de análisis, verificación y depuración contable de la cuenta propiedad planta y equipo y en labores de registro, control y seguimiento en los procedimientos de almacén que correspondan al proceso Administrativo</t>
  </si>
  <si>
    <t xml:space="preserve">Honorarios Consejo Directivo </t>
  </si>
  <si>
    <t>Prestación de servicios profesionales en actividades de análisis, registro, control y seguimiento en el procedimiento presupuestal y en los afines dentro del proceso financiero del Instituto Nacional para Ciegos – INCI.</t>
  </si>
  <si>
    <t>A-02-02-02-008-004</t>
  </si>
  <si>
    <t xml:space="preserve">Servicio teléfono y celular </t>
  </si>
  <si>
    <t>A-02-02-02-008-005</t>
  </si>
  <si>
    <t>SERVICIOS DE SOPORTE</t>
  </si>
  <si>
    <t xml:space="preserve">Servicio vigilancia </t>
  </si>
  <si>
    <t xml:space="preserve">Servicio vigilancia VIGENCIA FUTURA </t>
  </si>
  <si>
    <t>Servicios de aseo</t>
  </si>
  <si>
    <t xml:space="preserve">Servicios de aseo VIGENCIA FUTURA </t>
  </si>
  <si>
    <t>Servicios complementarios de aseo (Aspiradora, greca, estufa)</t>
  </si>
  <si>
    <t>A-02-02-02-008-007</t>
  </si>
  <si>
    <t>SERVICIOS DE MANTENIMIENTO, REPARACIÓN E INSTALACIÓN (EXCEPTO SERVICIOS DE CONSTRUCCIÓN)</t>
  </si>
  <si>
    <t>Prestar el servicio de mantenimiento preventivo y correctivo, incluida la mano de obra y bolsa de repuestos que requiera el vehículo de propiedad del Instituto Nacional para Ciegos</t>
  </si>
  <si>
    <t xml:space="preserve">72101506
</t>
  </si>
  <si>
    <t xml:space="preserve">
81141804</t>
  </si>
  <si>
    <t xml:space="preserve">Contratación de prestación de servicios para el mantenimiento, adquisicion e instalacion de los aires acondicionados </t>
  </si>
  <si>
    <t>Caja Menor Mantenimiento de bienes muebles, inmuebles, equipos y enseres</t>
  </si>
  <si>
    <t>72102900</t>
  </si>
  <si>
    <t>Suministro de elementos de ferretería y construcción de acuerdo a las necesidades, para efectuar mantenimientos preventivos y correctivos en las instalaciones del Instituto Nacional para Ciegos – INCI- en la ciudad de Bogotá. </t>
  </si>
  <si>
    <t>27111729
31211502
23101510
31161502
39101605
31211904
31201505
27111728
27112125
47131705</t>
  </si>
  <si>
    <t>A-02-02-02-009-004</t>
  </si>
  <si>
    <t>SERVICIOS DE ALCANTARILLADO, RECOLECCIÓN, TRATAMIENTO Y DISPOSICIÓN DE DESECHOS Y OTROS SERVICIOS DE SANEAMIENTO AMBIENTAL</t>
  </si>
  <si>
    <t xml:space="preserve">Servicio Publico Aseo </t>
  </si>
  <si>
    <t>C-2203-0700-5-0-2203003-02</t>
  </si>
  <si>
    <t>MC-01</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</si>
  <si>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</si>
  <si>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C-2203-0700-5-0-2203018-02</t>
  </si>
  <si>
    <t>MC-02</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</si>
  <si>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</si>
  <si>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C-2203-0700-5-0-2203016-02</t>
  </si>
  <si>
    <t>MC-03</t>
  </si>
  <si>
    <t>Financiero</t>
  </si>
  <si>
    <t>Administrativo</t>
  </si>
  <si>
    <t>Producción Radial y Audiovisual</t>
  </si>
  <si>
    <t>Proyecto de inversión</t>
  </si>
  <si>
    <t>Grupo Responsable</t>
  </si>
  <si>
    <t>Meta</t>
  </si>
  <si>
    <t>Modalidad de selección</t>
  </si>
  <si>
    <t>¿Se requieren vigencias futuras?</t>
  </si>
  <si>
    <t>Estado de solicitud de vigencias futuras</t>
  </si>
  <si>
    <t>Unidad de contratación</t>
  </si>
  <si>
    <t>Ubicación</t>
  </si>
  <si>
    <t>Valor estimado en la vigencia actual (Valor Inicial)</t>
  </si>
  <si>
    <t xml:space="preserve">Crear </t>
  </si>
  <si>
    <t>Aumentar</t>
  </si>
  <si>
    <t>Reducir</t>
  </si>
  <si>
    <t>juridica@inci.gov.co</t>
  </si>
  <si>
    <t>Ricardo Hernández</t>
  </si>
  <si>
    <t>planeacion@inci.gov.co</t>
  </si>
  <si>
    <t>Servicio de Streaming para la Emisora Virtual INCI Radio, del Instituto Nacional para Ciegos</t>
  </si>
  <si>
    <t xml:space="preserve"> Adquisición de licenciamiento microsoft office 365 para los equipos de cómputo del INCI </t>
  </si>
  <si>
    <t>Selección abreviada- Acuedo Marco</t>
  </si>
  <si>
    <t>LICENCIA</t>
  </si>
  <si>
    <t xml:space="preserve"> Adquisición Licenciamiento Suite Adobe </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</si>
  <si>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</si>
  <si>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</si>
  <si>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 xml:space="preserve"> LICENCIA </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</si>
  <si>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</si>
  <si>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</si>
  <si>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</si>
  <si>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</si>
  <si>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</si>
  <si>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</si>
  <si>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</si>
  <si>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</si>
  <si>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Informática y tecnología</t>
  </si>
  <si>
    <t>Gestión  Documental</t>
  </si>
  <si>
    <t>Maria Helena Ordoñez</t>
  </si>
  <si>
    <t>controlinterno@inci.gov.co</t>
  </si>
  <si>
    <t>Contratación de servicios tecnológicos de apoyo para el soporte y mantenimiento de la infraestructura tecnológica</t>
  </si>
  <si>
    <t>Servicio de Internet Canal Principal</t>
  </si>
  <si>
    <t>Servicio de Internet Canal Principal 
Vigencia Futura</t>
  </si>
  <si>
    <t>Prestar sus servicios de tecnólogo en gestión documental, apoyando la ejecución de las diferentes actividades y compromisos establecidos para el proceso de gestión documental durante la vigencia 2023 en el Instituto Nacional para Ciegos – INCI.</t>
  </si>
  <si>
    <t>Ricardo Hernadez Mateus</t>
  </si>
  <si>
    <t>desarrollohumano@inci.gov.co</t>
  </si>
  <si>
    <t>CONTRATO PRESTACIÓN SERVICIOS (Técnico)</t>
  </si>
  <si>
    <t>Prestación de servicios profesionales para el desarrollo  de actividades y compromisos del proceso de Gestión Documental durante la vigencia 2023 en el Instituto Nacional para Ciegos – INCI.</t>
  </si>
  <si>
    <t>Minima Cuantía</t>
  </si>
  <si>
    <t xml:space="preserve">Contrato de prestación de servicios para apoyo administrativo del proceso Gestión Humana </t>
  </si>
  <si>
    <t>FP-01</t>
  </si>
  <si>
    <t>Jenny Malaver</t>
  </si>
  <si>
    <t>Direccionamiento Estratégico</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</si>
  <si>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</si>
  <si>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</si>
  <si>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subdireccion@inci.gov.co</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</si>
  <si>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</si>
  <si>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</si>
  <si>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Administrativo y Financiero</t>
  </si>
  <si>
    <t>Mejorar los espacios físicos y accesibilidad de la entidad</t>
  </si>
  <si>
    <t>Gestión Jurídica</t>
  </si>
  <si>
    <t>Oficina asesora Jurídica</t>
  </si>
  <si>
    <t>Evaluación y Mejoramiento Institucional</t>
  </si>
  <si>
    <t>Gestión Humana y de la información</t>
  </si>
  <si>
    <t xml:space="preserve">Mantenimiento Correctivo y preventivo de la puerta del parqueadero y la puerta principal </t>
  </si>
  <si>
    <t>Oficina asesora de Planeación</t>
  </si>
  <si>
    <t>81112210;
81112200</t>
  </si>
  <si>
    <t>SOFTWARE</t>
  </si>
  <si>
    <t>Duración estimada del contrato (intervalo: días, meses, años)</t>
  </si>
  <si>
    <t>TR-01</t>
  </si>
  <si>
    <t>Aportes al fondo de contingencias</t>
  </si>
  <si>
    <t>TR-02</t>
  </si>
  <si>
    <t>Sentencias y Conciliaciones</t>
  </si>
  <si>
    <t>TR-03</t>
  </si>
  <si>
    <t>IMPUESTO SOBRE VEHICULOS AUTOMOTORES</t>
  </si>
  <si>
    <t>TR-04</t>
  </si>
  <si>
    <t>CUOTA DE FISCALIZACIÓN Y AUDITAJE</t>
  </si>
  <si>
    <t>TR-05</t>
  </si>
  <si>
    <t xml:space="preserve">IMPUESTO PREDIAL </t>
  </si>
  <si>
    <t>FONDO DE CONTINGENCIAS</t>
  </si>
  <si>
    <t>SENTENCIAS</t>
  </si>
  <si>
    <t>IMPUESTO VEHÍCULOS</t>
  </si>
  <si>
    <t>IMPUESTO PREDIAL</t>
  </si>
  <si>
    <t>Diego Sáchez</t>
  </si>
  <si>
    <t xml:space="preserve">Unidades Productivas
</t>
  </si>
  <si>
    <t>Promover la adquisición de productos especializados para las personas con discapacidad visual</t>
  </si>
  <si>
    <t xml:space="preserve">Producir libros, textos y material en tinta, macrotipo, sistema braille y relieve para las personas con discapacidad visual </t>
  </si>
  <si>
    <t>Adquisición de productos especializados para personas ciegas y con baja visión para comercializar en La Tienda INCI</t>
  </si>
  <si>
    <t>42211700;
42211702;
44101800;
44101802;
44101803</t>
  </si>
  <si>
    <t>Contratación de la actualización y modernización del mobiliario de La Tienda INCI, en términos de aseguramiento de la custodia segura y correcta de los elementos que se comercializan a la población con discapacidad visual.</t>
  </si>
  <si>
    <t>Servicio de mantenimiento correctivo y preventivo de las máquinas impresoras RICOH.</t>
  </si>
  <si>
    <t>73152101;
73152102;
73152103; 
81101707</t>
  </si>
  <si>
    <t>Servicio de mantenimiento correctivo y preventivo de las máquinas impresoras Braille Index  y Braille Box</t>
  </si>
  <si>
    <t xml:space="preserve">Prestar  servicios de apoyo a la gestión para realizar labores operativas en el área de acabados y revisión de calidad braille de los productos elaborados en la imprenta Nacional para Ciegos. </t>
  </si>
  <si>
    <t xml:space="preserve">Prestar  servicios de apoyo a la gestión para realizar labores operativas y de impresión en la máquina impresora Pinza Heildelberg, y corte en la guillotina grufcut de la imprenta Nacional para Ciegos. </t>
  </si>
  <si>
    <t>Prestación de servicios de apoyo a la gestión para realizar actividades relacionadas con la impresión en tinta braille y finalizado de productos en la imprenta Nacional para Ciegos.</t>
  </si>
  <si>
    <t>Prestar servicios de apoyo a la gestión en actividades de diseño, transcripción e impresión en sistema tinta braille en el proceso productivo de la Imprenta Nacional para Ciegos.</t>
  </si>
  <si>
    <t>Prestar servicios de apoyo a la gestión para adelantar la revisión de calidad de escritura del sistema braille para la producción de las tarjetas electorales.</t>
  </si>
  <si>
    <t>43231602;
43231508;
43231511;
43231512;
43231514;
43231506;
43231507</t>
  </si>
  <si>
    <t>Daniel Herrera</t>
  </si>
  <si>
    <t>Adquisición de papel para la producción de la Imprenta Nacional para Ciegos del INCI.</t>
  </si>
  <si>
    <t>11141608; 76121501; 76122314; 76122305; 76122304; 76121904; 76122203</t>
  </si>
  <si>
    <t>Adquisición de códigos ISBN para la codificación de libros y obras elaborados e impresos en el INCI</t>
  </si>
  <si>
    <t xml:space="preserve">Brindar asistencia técnica en educación a las entidades territoriales para el fortalecimiento de los procesos de atención para las personas con discapacidad visual </t>
  </si>
  <si>
    <t xml:space="preserve">Fecha estimada de inicio de proceso de selección </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</si>
  <si>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</si>
  <si>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</si>
  <si>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</si>
  <si>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</si>
  <si>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</si>
  <si>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 xml:space="preserve">Tiquetes terrestres para el desplazamiento de los servidores públicos del INCI para el ejercicio de sus funciones </t>
  </si>
  <si>
    <t>Prestación de servicios profesionales en la gestión interinstitucional para brindar asistencia técnica y acompañamiento a las entidades en actividades relacionadas con la empleabilidad de personas con discapacidad visual.</t>
  </si>
  <si>
    <t xml:space="preserve">Asistencia Técnica
</t>
  </si>
  <si>
    <t xml:space="preserve">Grupo Educación
</t>
  </si>
  <si>
    <t>Grupo Accesibilidad</t>
  </si>
  <si>
    <t xml:space="preserve"> Grupo Gestión Interinstitucional</t>
  </si>
  <si>
    <t xml:space="preserve"> Comunicaciones</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</si>
  <si>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</si>
  <si>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</si>
  <si>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</si>
  <si>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Brindar asistencia técnica a entidades públicas y privadas en temas de acceso a la información para personas con discapacidad visual</t>
  </si>
  <si>
    <t>Brindar asistencia técnica a entidades públicas y privadas en temas de accesibilidad del espacio físico.</t>
  </si>
  <si>
    <t xml:space="preserve">Brindar asistencia tecnica a entidades publicas y privadas para promover la inclusion laboral de las personas con discapacidad visual   </t>
  </si>
  <si>
    <t>Asesorar propuestas y proyectos de investigación en el tema de discapacidad visual</t>
  </si>
  <si>
    <t xml:space="preserve">Desarrollar acciones que contribuyan el ejercicio de los derechos de las personas con discapacidad visual 
</t>
  </si>
  <si>
    <t>Gloria Peña</t>
  </si>
  <si>
    <t>VIATICOS</t>
  </si>
  <si>
    <t>TIQUETE AEREO</t>
  </si>
  <si>
    <t>TIQUETE TERRESTRE</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</si>
  <si>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</si>
  <si>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</si>
  <si>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Contratación de servicios profesionales de un web master para la administración de los portales y canales digitales del INCI</t>
  </si>
  <si>
    <t>Contratación de servicios profesionales de un diseñador gráfico para la elaboración de piezas y contenidos institucionales.</t>
  </si>
  <si>
    <t>Prestar servicios profesionales como asistente de comunicaciones para la generación de contenidos de los diferentes canales de información del INCI.gov.co, INCIdigital, INCIRadio y redes.</t>
  </si>
  <si>
    <t>Carlos Parra</t>
  </si>
  <si>
    <t>direccioninci@inci.gov.co</t>
  </si>
  <si>
    <t>Paola Mejía</t>
  </si>
  <si>
    <t>Prestación de servicios profesionales en asistencia técnica para fortalecer la participación ciudadana de la población con discapacidad visual.</t>
  </si>
  <si>
    <t>Prestación de servicios profesionales para la Administración de la Biblioteca Virtual para Ciegos de Colombia y vigilancia del funcionamiento de la plataforma Dspace que la soporta</t>
  </si>
  <si>
    <t>Actualización, Funcionamiento, Soporte y Mantenimiento de la plataforma D-Space de la Biblioteca vitual para ciegos</t>
  </si>
  <si>
    <t>81112210
81112200</t>
  </si>
  <si>
    <t>Mínima Cuantía</t>
  </si>
  <si>
    <t>Departamento</t>
  </si>
  <si>
    <t>Municipio</t>
  </si>
  <si>
    <t>Nombre Servidor público</t>
  </si>
  <si>
    <t># días</t>
  </si>
  <si>
    <t>SUBTOTAL Viaticos</t>
  </si>
  <si>
    <t>Tiquete Aereo</t>
  </si>
  <si>
    <t>Tiquete Terrestre</t>
  </si>
  <si>
    <t>Valor Viáticos dìa</t>
  </si>
  <si>
    <t>TAXIS AEROPUERTO BOGOTA</t>
  </si>
  <si>
    <t>TAXI AEROPUERTO CIUDADES</t>
  </si>
  <si>
    <t>VALOR TOTAL TRANSPORTE TERRESTRE</t>
  </si>
  <si>
    <t>COMISIONES DE SERVICIO EN EL INTERIOR DEL PAÍS</t>
  </si>
  <si>
    <t>SALARIO</t>
  </si>
  <si>
    <t>VIÁTICOS DIARIOS EN PESOS</t>
  </si>
  <si>
    <t>PROYECCIÓN VIÁTICOS 2023 (POSIBLE INCREMENTO 10%)</t>
  </si>
  <si>
    <t>De</t>
  </si>
  <si>
    <t>a</t>
  </si>
  <si>
    <t>Floridablanca</t>
  </si>
  <si>
    <t>Edwin Beltrán Chamorro</t>
  </si>
  <si>
    <t>Darío Montñez</t>
  </si>
  <si>
    <t>María del Rosario Yepes</t>
  </si>
  <si>
    <t>PROYECTO</t>
  </si>
  <si>
    <t>TOPE</t>
  </si>
  <si>
    <t>DIFERENCIA</t>
  </si>
  <si>
    <t>ADQUISICIÓN DE BIENES Y SERVICIOS</t>
  </si>
  <si>
    <t>TOTAL</t>
  </si>
  <si>
    <t>Rubro 02</t>
  </si>
  <si>
    <t>TRANSFERENCIAS TOPE</t>
  </si>
  <si>
    <t>TOPE TOTAL</t>
  </si>
  <si>
    <t>TOTAL ACTUAL</t>
  </si>
  <si>
    <t>Producir y/o adaptar productos o recursos en formatos accesibles para el acceso a la informaciòn y al conocimiento de las personas con discapacidad visual</t>
  </si>
  <si>
    <t>Servicio de promoción y divulgación de los derechos de las personas con discapacidad</t>
  </si>
  <si>
    <t>A-02-02-01-002-008</t>
  </si>
  <si>
    <t>SERVICIOS DE TELECOMUNICACIONES, TRANSMISIÓN Y SUMINISTRO DE INFORMACIÓN</t>
  </si>
  <si>
    <t>DOTACIÓN (PRENDAS DE VESTIR Y CALZADO)</t>
  </si>
  <si>
    <t>SERVICIOS JURÍDICOS Y CONTABLES</t>
  </si>
  <si>
    <t>SERVICIOS DE MANTENIMIENTO Y REPARACIÓN DE COMPUTADORES Y EQUIPO PERIFÉRICO.</t>
  </si>
  <si>
    <t>SERVICIOS DE TELEFONÍA Y OTRAS TELECOMUNICACIONES</t>
  </si>
  <si>
    <t>OTROS SERVICIOS DE ESPARCIMIENTO Y DIVERSIÓN</t>
  </si>
  <si>
    <t>A-03-10-01-001</t>
  </si>
  <si>
    <t>SENTENCIAS Y CONCILIACIONES</t>
  </si>
  <si>
    <t>A-08-04-01</t>
  </si>
  <si>
    <t>A-08-01-02-001</t>
  </si>
  <si>
    <t>IMPUESTO PREDIAL Y SOBRETASA AMBIENTAL</t>
  </si>
  <si>
    <t>B-10-04-01</t>
  </si>
  <si>
    <t>A-02-02-01-002-007</t>
  </si>
  <si>
    <t xml:space="preserve">NACIÓN </t>
  </si>
  <si>
    <t>NACIÓN</t>
  </si>
  <si>
    <t>Gestión contractual</t>
  </si>
  <si>
    <t>Bogotá, D.C.</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</si>
  <si>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</si>
  <si>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C-2299-0700-3-0-2299060-02</t>
  </si>
  <si>
    <t>C-2299-0700-3-0-2299011-02</t>
  </si>
  <si>
    <t>Diego Sánchez</t>
  </si>
  <si>
    <t>Desarrollar campañas de comunicación para posicionar el INCI como entidad referente en la tematica de discapacidad visual</t>
  </si>
  <si>
    <t>Servicio de asistencia técnica en educación con enfoque incluyente y de calidad</t>
  </si>
  <si>
    <t>SERVICIO DE IMPLEMENTACIÓN SISTEMAS DE GESTIÓN</t>
  </si>
  <si>
    <t>SEDES ADECUADAS</t>
  </si>
  <si>
    <t xml:space="preserve">Servicio de producción de contenidos y ajustes razonables para promover y garantizar el acceso a la información y la comunicación de personas discapacitadas </t>
  </si>
  <si>
    <t>Producir y publicar contenidos audiovisuales para promover la inclusión de las personas con discapacidad visual</t>
  </si>
  <si>
    <t xml:space="preserve">Brindar asesoria a organizaciones sociales y personas con discapacidad visual para la participación y el ejercicio de sus derechos </t>
  </si>
  <si>
    <t>Dotar con material en tinta, braile, relieve o recursos educativos digitales accesibles a entidades publicas y/o privadas para apoyar los servicios que estas entidades ofrecen a las personas con discapacidad visual</t>
  </si>
  <si>
    <t xml:space="preserve">Antioquia </t>
  </si>
  <si>
    <t>Medellín</t>
  </si>
  <si>
    <t>Marcela Valbuena</t>
  </si>
  <si>
    <t>Antioquia</t>
  </si>
  <si>
    <t>Itagui</t>
  </si>
  <si>
    <t>Enviagado</t>
  </si>
  <si>
    <t>Bello</t>
  </si>
  <si>
    <t xml:space="preserve">Cauca </t>
  </si>
  <si>
    <t>Popayán</t>
  </si>
  <si>
    <t>Cauca</t>
  </si>
  <si>
    <t>Cajibío</t>
  </si>
  <si>
    <t>Santander de Quilichao</t>
  </si>
  <si>
    <t xml:space="preserve">Caldas </t>
  </si>
  <si>
    <t>Manizales</t>
  </si>
  <si>
    <t xml:space="preserve">Cundinamarca </t>
  </si>
  <si>
    <t>Soacha</t>
  </si>
  <si>
    <t>Cundinamarca</t>
  </si>
  <si>
    <t>Funza</t>
  </si>
  <si>
    <t>Mosquera</t>
  </si>
  <si>
    <t xml:space="preserve">Quindio </t>
  </si>
  <si>
    <t>Armenia</t>
  </si>
  <si>
    <t>Quindio</t>
  </si>
  <si>
    <t>Otro municipio</t>
  </si>
  <si>
    <t xml:space="preserve">Santander </t>
  </si>
  <si>
    <t>Bucaramanga</t>
  </si>
  <si>
    <t>Santander</t>
  </si>
  <si>
    <t>Pie de cuesta</t>
  </si>
  <si>
    <t xml:space="preserve">Valle </t>
  </si>
  <si>
    <t>Cali</t>
  </si>
  <si>
    <t>Valle</t>
  </si>
  <si>
    <t xml:space="preserve">Quindío </t>
  </si>
  <si>
    <t>Casanare</t>
  </si>
  <si>
    <t>Yopal</t>
  </si>
  <si>
    <t>Aguazul</t>
  </si>
  <si>
    <t>Monterey</t>
  </si>
  <si>
    <t>Villanueva</t>
  </si>
  <si>
    <t>Putumayo</t>
  </si>
  <si>
    <t>Puerto Asis</t>
  </si>
  <si>
    <t>Mocoa</t>
  </si>
  <si>
    <t>Atlántico</t>
  </si>
  <si>
    <t>Barranquilla</t>
  </si>
  <si>
    <t>Cesar</t>
  </si>
  <si>
    <t>Valledupar</t>
  </si>
  <si>
    <t xml:space="preserve">Vaupes </t>
  </si>
  <si>
    <t>Mitú</t>
  </si>
  <si>
    <t>Popayan</t>
  </si>
  <si>
    <t>Esperanza Verdugo</t>
  </si>
  <si>
    <t>Patricia Montoya</t>
  </si>
  <si>
    <t>Miriam Herrera</t>
  </si>
  <si>
    <t>La Guajira</t>
  </si>
  <si>
    <t>Riohacha</t>
  </si>
  <si>
    <t>Maicao</t>
  </si>
  <si>
    <t>Hermes Cely</t>
  </si>
  <si>
    <t>Vaupes</t>
  </si>
  <si>
    <t xml:space="preserve">Cesar </t>
  </si>
  <si>
    <t>Brindar asistencia técnica para  el mejoramiento de los procesos de atención integral de los niños y niñas con discapacidad visual en primera Infancia</t>
  </si>
  <si>
    <t>Realizar talleres especializados en temas relacionados con la discapacidad visual</t>
  </si>
  <si>
    <t xml:space="preserve">Prestar servicios profesionales  para la gestión, apoyo y trámite de los procesos contractuales del área misional de la entidad </t>
  </si>
  <si>
    <t>PROPIOS 20</t>
  </si>
  <si>
    <t>PROPIOS 21</t>
  </si>
  <si>
    <t>Juan Esteban Gómez</t>
  </si>
  <si>
    <t>Mejorar los espacios físicos y accesibilidad de la entidad.</t>
  </si>
  <si>
    <t>Mejorar los espacios físicos y accesibilidad de la entidad..</t>
  </si>
  <si>
    <t xml:space="preserve">Valor del contrato
2023 </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</si>
  <si>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</si>
  <si>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</si>
  <si>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</si>
  <si>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</si>
  <si>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</si>
  <si>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</si>
  <si>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</si>
  <si>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</si>
  <si>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</si>
  <si>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</si>
  <si>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</si>
  <si>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345 dìas</t>
  </si>
  <si>
    <t>345 días</t>
  </si>
  <si>
    <t>315 días</t>
  </si>
  <si>
    <t>30241500
30191800</t>
  </si>
  <si>
    <t>Centro Cultural</t>
  </si>
  <si>
    <t>Prestación de servicios profesionales para promover la inclusión social de las personas con discapacidad visual</t>
  </si>
  <si>
    <t>Contratación de servicios profesionales  para la administración de la plataforma tecnológica de la biblioteca y aplicaciones del área misional</t>
  </si>
  <si>
    <t>Prestar servicios profesionales para avanzar en la implementación de la política de gestión jurídica del Modelo Integrado de Planeación y Gestión</t>
  </si>
  <si>
    <t>Optimizar la Gestión Documental Institucional de la entidad</t>
  </si>
  <si>
    <t>Fortalecer la implementación de la dimension de Talento Humano de la entidad.</t>
  </si>
  <si>
    <t>Fortalecer la implementación del Modelo Integrado de planeacion y gestión</t>
  </si>
  <si>
    <t>Consolidar las politicas de gobierno digital y seguridad digital</t>
  </si>
  <si>
    <t xml:space="preserve">Por definir </t>
  </si>
  <si>
    <t>001-2023</t>
  </si>
  <si>
    <t>GRUPO EDS AUTOGAS S.A.S</t>
  </si>
  <si>
    <t>PLAN ANUAL DE ADQUISICIONES AÑO 2023</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</si>
  <si>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
Se cambia por: 
Prestar servicios de apoyo a la gestión en las actividades documentales de los procesos contractual, gestión jurídica, gestión documental y gestión humana del INCI.</t>
  </si>
  <si>
    <t>2
Se cambia a 1</t>
  </si>
  <si>
    <t>7
Se cambia a 11</t>
  </si>
  <si>
    <t>Circular No 1</t>
  </si>
  <si>
    <t>CAJA DE COMPENSACIÓN FAMILIAR CAFAM</t>
  </si>
  <si>
    <t>0
Se modifica a 1</t>
  </si>
  <si>
    <t>Gestión Contractual</t>
  </si>
  <si>
    <t>RAQUEL LUCIA CEPEDA</t>
  </si>
  <si>
    <t xml:space="preserve">KAREN DENISSE REYES </t>
  </si>
  <si>
    <t>SINDY YOHANA ARIAS QUINTERO</t>
  </si>
  <si>
    <t>008-2023</t>
  </si>
  <si>
    <t>MAYRA ALEJANDRA CASTELLANOS</t>
  </si>
  <si>
    <t>002-2023</t>
  </si>
  <si>
    <t>COMUNICACIÓN CELULAR S.A. COMCEL S.A  EMPRESA DE TELECOMUNICACIONES DE BOGOTÁ ETB</t>
  </si>
  <si>
    <t>YEIMI ANDREA MATALLANA</t>
  </si>
  <si>
    <t>Adriana Pardo</t>
  </si>
  <si>
    <t>Prestación de servicios de apoyo a la gestión para la estructuración y adaptación de documentos digitales accesibles para la Biblioteca virtual para ciegos</t>
  </si>
  <si>
    <t>Prestar servicios profesionales para la gestión, apoyo y trámite de la actividad disciplinaria  así como apoyo a la actividad contractual de la entidad .</t>
  </si>
  <si>
    <t>225 días</t>
  </si>
  <si>
    <t>Prestación de servicios para la creación de contenidos y de apoyo a la gestión de producción radial y contenidos web de la emisora INCI Radio: 
Se cambia por: 
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</si>
  <si>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Prestar servicios profesionales para llevar a cabo la locución y producción de contenidos radiales y web sobre de la población con discapacidad visual, de la programación de la emisora virtual INCIRadio La Radio Incluyente.
Se cambia por: 
Prestar servicios profesionales para llevar a cabo la locución y producción de contenidos del proceso producción radial y audiovisual</t>
  </si>
  <si>
    <t>CINDY ARANDIA VELANDIA</t>
  </si>
  <si>
    <t>067-2022</t>
  </si>
  <si>
    <t>AXA COLPATRIA SEGUROS S.A.</t>
  </si>
  <si>
    <t>102-2022</t>
  </si>
  <si>
    <t>063-2022</t>
  </si>
  <si>
    <t>IFX NETWORKS COLOMBIA S A S</t>
  </si>
  <si>
    <t>PACHECO HERNANDEZ TERESITA DE JESUS</t>
  </si>
  <si>
    <t>CHVES JARRO CLAUDIA LILIANA</t>
  </si>
  <si>
    <t>PARRA GUERRERO ANDRES CAMILO</t>
  </si>
  <si>
    <t>MONROY SANZ NICOLAS</t>
  </si>
  <si>
    <t>GARNICA COBA CAMILO ANDRES</t>
  </si>
  <si>
    <t>QUINTERO CALDERON CARLOS EDUARDO</t>
  </si>
  <si>
    <t>BOLIVAR RODRIGUEZ DIANA GUIOMAR</t>
  </si>
  <si>
    <t>KING GARCES ENRIQUE EFRAIN</t>
  </si>
  <si>
    <t>ORTIZ TORRES LUZ HEDY</t>
  </si>
  <si>
    <t>CORTES ALDANA ANGELA PATRICIA</t>
  </si>
  <si>
    <t>Prestar servicios de apoyo profesional en actividades de comercialización de productos especializados para personas con discapacidad visual en La Tienda INCI</t>
  </si>
  <si>
    <t xml:space="preserve">Circular No 1 </t>
  </si>
  <si>
    <t>1
Se modifica a 2</t>
  </si>
  <si>
    <t>Contratación de prestación de servicios para el mantenimiento del ascensor del INCI
Se cambia por:
Prestar el servicio de mantenimiento preventivo y correctivo, incluida la mano de obra y bolsa de repuestos que requieran los ascensores del instituto nacional para ciegos- INCI</t>
  </si>
  <si>
    <t xml:space="preserve"> Adquisición y administración de Licencias Firewall 
Se cambia por: 
Contratar la adquisición, instalación y puesta en funcionamiento de dos equipos firewall con sus licencias  para la sede del INCI  
</t>
  </si>
  <si>
    <t xml:space="preserve"> Adquisición de equipos de Firewall 
Se cambia por: 
Contratar la adquisición, instalación y puesta en funcionamiento de dos equipos firewall con sus licencias  para la sede del INCI  </t>
  </si>
  <si>
    <t>7
Se cambia 2</t>
  </si>
  <si>
    <t>Código producto del proyecto o código plan de adquisiciones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</si>
  <si>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
Se cambia por: 
Prestación de servicios de apoyo a la gestión, brindando asesoría y acompañamiento  en acceso a la información de personas con discapacidad visual para Instituciones educativas, personas naturales, entidades públicas y privadas.</t>
  </si>
  <si>
    <t>Edwin Beltrán</t>
  </si>
  <si>
    <t xml:space="preserve">11
Se modifica a 10 </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</si>
  <si>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
Se modifica así: 
Prestación de servicios de mantenimiento y soporte del software en línea de gestión empresarial especializado en artes gráficas, de acuerdo a las necesidades de la Imprenta Nacional para Ciegos del INCI</t>
  </si>
  <si>
    <t>Servicio de mantenimiento correctivo y preventivo de las máquinas Offset y de la máquina Estereotipadora PED 30.
Se modifica así: 
Servicio de mantenimiento correctivo y preventivo de las máquinas Offset</t>
  </si>
  <si>
    <t>Servicio de mantenimiento correctivo y preventivo de la máquina Estereotipadora PED 30.</t>
  </si>
  <si>
    <t>Prestar servicios de apoyo a la gestión para realizar la revisión de calidad y lectura braille de los productos elaborados en la imprenta Nacional para Ciegos. 
Se modifica así: 
Prestación de servicios de apoyo a la gestión para realizar actividades relacionadas con la impresión en tinta braille y finalizado de productos en la imprenta Nacional para Ciegos.</t>
  </si>
  <si>
    <t xml:space="preserve">Prestación de servicios profesionales para el diseño y ejecución de espacios que promuevan la inclusión social de las personas con discapacidad visual 
Se modifica por: 
Prestación de servicios profesionales para generar espacios y contenidos que promuevan el acceso a la información y la inclusión social de las personas con discapacidad visual </t>
  </si>
  <si>
    <t>11
Se modifica a 9</t>
  </si>
  <si>
    <t>ENEL COLOMBIA S.A E.S.P</t>
  </si>
  <si>
    <t>EMPRESA DE ACUEDUCTO Y ALCANTARILLADO DE BOGOTA - ESP</t>
  </si>
  <si>
    <t>RESOLUCION
20231000000323</t>
  </si>
  <si>
    <t>CANO ALBORNOZ MARTHA PATRICIA</t>
  </si>
  <si>
    <t>DUQUE LINARES DAVID ALEJANDRO</t>
  </si>
  <si>
    <t>CASTAÑEDA VARGAS LUIS ALEJANDRO</t>
  </si>
  <si>
    <t>PABON PERILLA FERNEY ALEJANDRO</t>
  </si>
  <si>
    <t>LOPEZ RONIS</t>
  </si>
  <si>
    <t>VILLAMIZAR NELSON JULIAN</t>
  </si>
  <si>
    <t>MEDINA LOZANO WILMAR JAVIER</t>
  </si>
  <si>
    <t>DIAZ CHACON HENRY ALONSO</t>
  </si>
  <si>
    <t>022-2023</t>
  </si>
  <si>
    <t>RUIZ ACHARDY JORGE ELIECER</t>
  </si>
  <si>
    <t>029-2023</t>
  </si>
  <si>
    <t>COMPAÑIA DE VIGILANCIA PRIVADA VIGILISTA LTDA</t>
  </si>
  <si>
    <t>Contratación de prestación de servicio para soporte y actualización de licencia IOS aplicaciones del INCI y plataforma de E-learning</t>
  </si>
  <si>
    <t>Contratación de prestación de servicios profesionales para el apoyo a los procesos disciplinarios adelantados en segunda instancia, así como la capacitación en normas disciplinarias</t>
  </si>
  <si>
    <t>HOYOS CUBIDES LEIDY FERNANDA</t>
  </si>
  <si>
    <t>035-2023</t>
  </si>
  <si>
    <t>RICOH COLOMBIA S.A.</t>
  </si>
  <si>
    <t>036-2023</t>
  </si>
  <si>
    <t>FREDY BLADIMIR VANEGAS LADINO</t>
  </si>
  <si>
    <t>037-2023</t>
  </si>
  <si>
    <t>YEIMY GABRIELA GOMEZ MORENO</t>
  </si>
  <si>
    <t>CONTRATO PRESTACIÓN SERVICIOS PROFESIONALES</t>
  </si>
  <si>
    <t xml:space="preserve">1A SOLUCIONES GS SAS </t>
  </si>
  <si>
    <t>7623-8023</t>
  </si>
  <si>
    <t>CLAVIJO QUINTIN ANDREA</t>
  </si>
  <si>
    <t>MUÑOZ LOPEZ GUSTAVO ADOLFO</t>
  </si>
  <si>
    <t>MUNDOLIMPIEZA LTDA</t>
  </si>
  <si>
    <t>107104//051-2023</t>
  </si>
  <si>
    <t>EMPRESA DE TELECOMUNICACIONES DE BOGOTA SA ESP PUDIENDO IDENTIFICARSE PARA TODOS LOS EFECTOS CON LA SIGLA ETB S.A. E.S.P.</t>
  </si>
  <si>
    <t>10523-10623</t>
  </si>
  <si>
    <t>29/03/2023
31/03/2023</t>
  </si>
  <si>
    <t>106893//050-2023</t>
  </si>
  <si>
    <t>89047//067-2022
106893//050-2023</t>
  </si>
  <si>
    <t>SERVIASEO S A</t>
  </si>
  <si>
    <t>MUNDOLIMPIEZA LTDA
SERVIASEO S A</t>
  </si>
  <si>
    <t>040-</t>
  </si>
  <si>
    <t>RODRIGUEZ HERNANDEZ ANDRES FELIPE</t>
  </si>
  <si>
    <t>044-</t>
  </si>
  <si>
    <t>GRUPO INEDITTO SAS</t>
  </si>
  <si>
    <t>046-</t>
  </si>
  <si>
    <t>SUPANTEVE CARLOS</t>
  </si>
  <si>
    <t>042-</t>
  </si>
  <si>
    <t>ROSAS DIAZ CAROLINA</t>
  </si>
  <si>
    <t>TRANSPORTE TERRESTRE</t>
  </si>
  <si>
    <t>052-</t>
  </si>
  <si>
    <t>SOLER ALFONSO JAIME</t>
  </si>
  <si>
    <t>PINTOR GUTIERREZ CAMILO ANDRES</t>
  </si>
  <si>
    <t>BELLO LADINO DAVID HERNANDO</t>
  </si>
  <si>
    <t>048-</t>
  </si>
  <si>
    <t>COLOMBIAWEBS GROUP SAS</t>
  </si>
  <si>
    <t>VILLATE LEON PABLO ERNESTO</t>
  </si>
  <si>
    <t>010-2023</t>
  </si>
  <si>
    <t>SOFTWARE HOUSE LTDA</t>
  </si>
  <si>
    <t>1
Se modifica a 2
Se modifica a 4</t>
  </si>
  <si>
    <t>1
Se modifica a 0</t>
  </si>
  <si>
    <t>11
Se modifica a 10 
Se modifica a 255 días</t>
  </si>
  <si>
    <t>Carlos Córdoba</t>
  </si>
  <si>
    <t>Sandy Vargas</t>
  </si>
  <si>
    <t>A-08-01-02-003</t>
  </si>
  <si>
    <t>TR-06</t>
  </si>
  <si>
    <t>IMPUESTO INDUSTRIA Y COMERCIO</t>
  </si>
  <si>
    <t xml:space="preserve">IMPUESTO </t>
  </si>
  <si>
    <t>BOGOTA DISTRITO CAPITAL</t>
  </si>
  <si>
    <t>CENTRO CAR 19 LIMITADA</t>
  </si>
  <si>
    <t>053-</t>
  </si>
  <si>
    <t>Prestación de servicios profesionales para la Biblioteca Virtual para Ciegos de Colombia</t>
  </si>
  <si>
    <t>Claudia Valdés</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</si>
  <si>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</si>
  <si>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11
Se modifica a 10 
Se modifica a 8</t>
  </si>
  <si>
    <t>1
Se modifica a 2
Se modifica a 3</t>
  </si>
  <si>
    <t>11
Se modifica a 315 días
Se modifica a 10</t>
  </si>
  <si>
    <t>Contratación directa
Se modifica a menor cuantía
Se modifica a minima cuantía</t>
  </si>
  <si>
    <t>Menor Cuantía
Se modifica a minima cuantía</t>
  </si>
  <si>
    <t>Profesional educación</t>
  </si>
  <si>
    <t>5123-12123</t>
  </si>
  <si>
    <t>5223-12223</t>
  </si>
  <si>
    <t>055-</t>
  </si>
  <si>
    <t>PINTO NARANJO WILSON MANUEL</t>
  </si>
  <si>
    <t>054-</t>
  </si>
  <si>
    <t>GAMMA INGENIEROS S.A.S.</t>
  </si>
  <si>
    <t>12323-12423-12523</t>
  </si>
  <si>
    <t>A-08-01-02-006</t>
  </si>
  <si>
    <t>Circular No 2</t>
  </si>
  <si>
    <t>Prestación de servicios profesionales para la revisión y mejora a que haya lugar de los programas del PIGA ( Plan Institucional de Gestion Ambiental ) la implementación y aplicación de los mismos en la vigencia actual, elaboracion de documentos, informes, registros, seguimiento, capacitacion y lo demas relacionado con obligaciones en materia de normas de tipo ambiental en el Instituto Nacional para Ciegos- INCI</t>
  </si>
  <si>
    <t>231 días</t>
  </si>
  <si>
    <t>Circular No 1
Circular No 2</t>
  </si>
  <si>
    <t>Dotación
Se cambia por: Adquisición de dotación para los servidores del Instituto Nacional para Ciegos – INCI-, en cumplimiento del Artículo 2.2.1.4.1. del Decreto 1072 de 2015</t>
  </si>
  <si>
    <t xml:space="preserve"> Soporte de Firewall 
Se cambia por: 
Prestación de servicios para la instalación, configuración, implementación y soporte de los dispositivos Firewall Fortinet de propiedad del Instituto Nacional para Ciegos - INCI </t>
  </si>
  <si>
    <t>13123-13223</t>
  </si>
  <si>
    <t>4623-13523</t>
  </si>
  <si>
    <t>17/02/2023
2023-05-02</t>
  </si>
  <si>
    <t>PIRACUN CELI OSCAR NICOLAS
GOMEZ AVILA MARYURY</t>
  </si>
  <si>
    <t>030-2023
056-2023</t>
  </si>
  <si>
    <t>4723-13623</t>
  </si>
  <si>
    <t>031-2023
057-2023</t>
  </si>
  <si>
    <t>057-2023</t>
  </si>
  <si>
    <t>GARZON RAMOS MARIA NELSY
SANCHEZ REYES LUISA FERNANDA</t>
  </si>
  <si>
    <t>SANCHEZ REYES LUISA FERNANDA</t>
  </si>
  <si>
    <t>BOGOTA DISTRITO CAPITAL
MUNICIPIO DE SANTANDER DE QUILICHAO</t>
  </si>
  <si>
    <t>14023-14123-14323</t>
  </si>
  <si>
    <t xml:space="preserve">Gastos de viaje para el desarrollo de las asistencias técnicas de los contratistas en las regiones </t>
  </si>
  <si>
    <t xml:space="preserve"> Soporte de Directorio activo se cambia por: 
Prestar el servicio de soporte y configuración del Directorio Activo del Instituto Nacional para Ciegos – INCI.</t>
  </si>
  <si>
    <t>Prestación de servicios de apoyo para la creación de contenidos y de apoyo a la gestión del centro audiovisual del Instituto Nacional para Ciegos- INCI. Llevar a cabo las diferentes fases de realización audiovisual y animacionespara las piezas del centro audiovisual que sean necesarios para el acceso a la información de la población y promover la inclusión de las personas con discapacidad visual</t>
  </si>
  <si>
    <t>1323-13923</t>
  </si>
  <si>
    <t>1123-14023</t>
  </si>
  <si>
    <t>42132200
24111503
42311511
42311500
42311703
51102722
42141502
42181501
42182201
42182604
12352104
41104213</t>
  </si>
  <si>
    <t>2
Se cambia a 6</t>
  </si>
  <si>
    <t>2923-16723</t>
  </si>
  <si>
    <t>6023-16823</t>
  </si>
  <si>
    <t>2623-16923</t>
  </si>
  <si>
    <t>4123-17023</t>
  </si>
  <si>
    <t>3023-17223</t>
  </si>
  <si>
    <t>3123-17323</t>
  </si>
  <si>
    <t>3223-17423</t>
  </si>
  <si>
    <t>Prestación de servicios de apoyo a la gestión para realizar actividades relacionadas con la impresión en tinta braille y finalizado de productos en la imprenta Nacional para Ciegos. 
Se cambia por: 
Prestar servicios de apoyo a la gestión en actividades de diseño, transcripción e impresión en sistema tinta braille en el proceso productivo de la Imprenta Nacional para Ciegos.</t>
  </si>
  <si>
    <t>Circular No 1 
Circular No 2</t>
  </si>
  <si>
    <t>Prestación de servicios de apoyo a la gestión para realizar labores operativas y de impresión en las máquinas impresoras Index Braille y finalizado de productos en la imprenta Nacional para Ciegos.</t>
  </si>
  <si>
    <t>1
Se modifica a 2
Se modifica a 6</t>
  </si>
  <si>
    <t>10
Se modifica a 7</t>
  </si>
  <si>
    <t>1
Se modifica a 6</t>
  </si>
  <si>
    <t>345 dìas
Se modifica a 11
Se modifica a 7</t>
  </si>
  <si>
    <t>7023-18023</t>
  </si>
  <si>
    <t>ROMERO BARREIRO MARÍA DEL PILAR</t>
  </si>
  <si>
    <t>060-</t>
  </si>
  <si>
    <t>058-</t>
  </si>
  <si>
    <t>MXM GROUP SAS</t>
  </si>
  <si>
    <t>007-2023
065-</t>
  </si>
  <si>
    <t>Prestación de servicios técnicos para apoyar las actividades de asistencia técnica en actividades relativas a la accesibilidad web y tecnología especializada, en el marco del proyecto mejoramiento de las condiciones para la garantía de los derechos de las personas con discapacidad visual del país.</t>
  </si>
  <si>
    <t>9
Se modifica a 11</t>
  </si>
  <si>
    <t>069-</t>
  </si>
  <si>
    <t>SERVICIO AEREO A TERRITORIOS NACIONALES S.A.</t>
  </si>
  <si>
    <t>3923-17623</t>
  </si>
  <si>
    <t>5823-17823</t>
  </si>
  <si>
    <t>923-15623</t>
  </si>
  <si>
    <t>16/01/2023
2023-05-17</t>
  </si>
  <si>
    <t>005-2023
062-</t>
  </si>
  <si>
    <t>1023-15723</t>
  </si>
  <si>
    <t>004-2023
063</t>
  </si>
  <si>
    <t>COMERANDINA INDUSTRIAL S.A.S.</t>
  </si>
  <si>
    <t>061-</t>
  </si>
  <si>
    <t>070-</t>
  </si>
  <si>
    <t>1723-15323</t>
  </si>
  <si>
    <t>2123-16423</t>
  </si>
  <si>
    <t>1223-16323</t>
  </si>
  <si>
    <t>18/01/2023
19-05-2023</t>
  </si>
  <si>
    <t>205 días</t>
  </si>
  <si>
    <t>5423-18123</t>
  </si>
  <si>
    <t>4323-18223</t>
  </si>
  <si>
    <t>4423-18323</t>
  </si>
  <si>
    <t>4223-18723</t>
  </si>
  <si>
    <t>2723-18823</t>
  </si>
  <si>
    <t xml:space="preserve">1/02/2023
2023-06-01 </t>
  </si>
  <si>
    <t>073-</t>
  </si>
  <si>
    <t>MCE NET SOLUTIONS SAS</t>
  </si>
  <si>
    <t>5923-17923</t>
  </si>
  <si>
    <t>1/03/2023
2023-06-01</t>
  </si>
  <si>
    <t>038-2023
074</t>
  </si>
  <si>
    <t>075-</t>
  </si>
  <si>
    <t>3523-18123</t>
  </si>
  <si>
    <t>7/02/2023
2023-06-01</t>
  </si>
  <si>
    <t>023-2023
076</t>
  </si>
  <si>
    <t>2523-18223</t>
  </si>
  <si>
    <t>31/01/2023
2023-06-01</t>
  </si>
  <si>
    <t>014-2023
077</t>
  </si>
  <si>
    <t>2723-18323</t>
  </si>
  <si>
    <t>1/02/2023
2023-06-01</t>
  </si>
  <si>
    <t>016-2023
078</t>
  </si>
  <si>
    <t>2623-18423</t>
  </si>
  <si>
    <t>015-2023
079</t>
  </si>
  <si>
    <t>2923-18523</t>
  </si>
  <si>
    <t>018-2023
080</t>
  </si>
  <si>
    <t>3023-18623</t>
  </si>
  <si>
    <t>19-2023
081</t>
  </si>
  <si>
    <t>IDEALOGIC S.A.S.</t>
  </si>
  <si>
    <t>082-</t>
  </si>
  <si>
    <t>PANAMERICANA LIBRERIA Y PAPELERIA SA</t>
  </si>
  <si>
    <t>110402-085</t>
  </si>
  <si>
    <t>2323-18923</t>
  </si>
  <si>
    <t>30/01/2023
2023-06-02</t>
  </si>
  <si>
    <t>012-2023
084</t>
  </si>
  <si>
    <t>5523-19023</t>
  </si>
  <si>
    <t>24/02/2023
2023-06-02</t>
  </si>
  <si>
    <t>034-2023-086</t>
  </si>
  <si>
    <t>086-</t>
  </si>
  <si>
    <t>NUÑEZ SALAZAR CAMILO ANDRES
SUAREZ BRICEÑO DANNY ARTURO</t>
  </si>
  <si>
    <t>SUAREZ BRICEÑO DANNY ARTURO</t>
  </si>
  <si>
    <t>RESOLUCION
20231000001403</t>
  </si>
  <si>
    <t>ALL TECHNOLOGICAL SERVICES ATS S.A.S.</t>
  </si>
  <si>
    <t>083-</t>
  </si>
  <si>
    <t>3423-19623</t>
  </si>
  <si>
    <t>7/02/2023
2023-06-06</t>
  </si>
  <si>
    <t>6823-19723</t>
  </si>
  <si>
    <t xml:space="preserve">7/03/2023
2023-06-06 </t>
  </si>
  <si>
    <t>047-
088</t>
  </si>
  <si>
    <t>Contratación servicio de Fumigacion 
Se modifica por: 
Prestar el servicio de lavado  y desinfección de los tanques de reserva de agua potable y la fumigación, desinfección y desratización de las áreas del Instituto Nacional para Ciegos INCI</t>
  </si>
  <si>
    <t>3
Se modifica a 6</t>
  </si>
  <si>
    <t>9
Se modifica a 6</t>
  </si>
  <si>
    <t>72102103;
24111813</t>
  </si>
  <si>
    <t>4
Se modifica a 6</t>
  </si>
  <si>
    <t>Prestar servicios profesionales para la gestión, apoyo y trámite en la Oficina Asesora Juridica del Instituto Nacional para Ciegos – INCI.</t>
  </si>
  <si>
    <t>185 días</t>
  </si>
  <si>
    <t>16223-20823</t>
  </si>
  <si>
    <t>TERESITA DE JESUS PACHECO</t>
  </si>
  <si>
    <t>5623-19023</t>
  </si>
  <si>
    <t>5323-18923</t>
  </si>
  <si>
    <t>• 46181500
• 46181531
• 46181532
• 46181603
• 46181710
• 46181802
• 46181811
• 46181901
• 46181902
• 46182006
• 46181503
• 46181504
• 46181528
• 46181536
• 46181537
• 46181541
• 46181604
• 46181605
• 46181611
• 46181708
• 46181804
• 46182002</t>
  </si>
  <si>
    <t>2
Se modifica a 7</t>
  </si>
  <si>
    <t>2
Se modifica a 6</t>
  </si>
  <si>
    <t>Prestar el servicio de técnico para el mantenimiento preventivo y/o correctivo para las máquinas   impresoras UV LED y cortadora de láser en la Imprenta Nacional para Ciegos del INCI.</t>
  </si>
  <si>
    <t>81112306
73152101
73152102</t>
  </si>
  <si>
    <t>095-</t>
  </si>
  <si>
    <t>C.I. MORASU S.A.S.</t>
  </si>
  <si>
    <t>5523-19623</t>
  </si>
  <si>
    <t>4423-20123</t>
  </si>
  <si>
    <t xml:space="preserve">17/02/2023
2023-06-08 </t>
  </si>
  <si>
    <t>028-2023
090</t>
  </si>
  <si>
    <t>3823-20223</t>
  </si>
  <si>
    <t>9/02/2023
2023-06-08</t>
  </si>
  <si>
    <t>024-2023
091</t>
  </si>
  <si>
    <t>3923-20323</t>
  </si>
  <si>
    <t>9/02/2023
08-06-2023</t>
  </si>
  <si>
    <t>025-2023
092</t>
  </si>
  <si>
    <t>093-</t>
  </si>
  <si>
    <t>MORENO PARRA JENNIFFER ANDREA DE ARANZAZU</t>
  </si>
  <si>
    <t>099-</t>
  </si>
  <si>
    <t>100-</t>
  </si>
  <si>
    <t>VEGA MARTÍNEZ JUAN FELIPE</t>
  </si>
  <si>
    <t>4023-21523</t>
  </si>
  <si>
    <t>9/02/2023
2023-06-15</t>
  </si>
  <si>
    <t>026-2023
101</t>
  </si>
  <si>
    <t>4323-21723</t>
  </si>
  <si>
    <t>17/02/2023
2023-06-16</t>
  </si>
  <si>
    <t>027-2023
103</t>
  </si>
  <si>
    <t>2823-20523</t>
  </si>
  <si>
    <t>1/02/2023
2023-06-09</t>
  </si>
  <si>
    <t>017-2023
096-</t>
  </si>
  <si>
    <t>094-</t>
  </si>
  <si>
    <t>METABIBLIOTECA S A S</t>
  </si>
  <si>
    <t>089-</t>
  </si>
  <si>
    <t>CAMARA COLOMBIANA DEL LIBRO</t>
  </si>
  <si>
    <t>102-</t>
  </si>
  <si>
    <t>RAMIREZ RUIZ LADY NATALY</t>
  </si>
  <si>
    <t>4823-20723</t>
  </si>
  <si>
    <t>2023-02-20 
2023-06-13</t>
  </si>
  <si>
    <t>032-2023
098</t>
  </si>
  <si>
    <t>098-</t>
  </si>
  <si>
    <t>033-2023
097</t>
  </si>
  <si>
    <t>Contratacion directa</t>
  </si>
  <si>
    <t>A-02-02-02-009-006</t>
  </si>
  <si>
    <t>3823-7423-11723-17523-21823</t>
  </si>
  <si>
    <t>4123-9623-13323-17423-23323</t>
  </si>
  <si>
    <t>14/02/2023
2023-03-23
2023-04-26
2023-05-29
2023-06-28</t>
  </si>
  <si>
    <t>RESOLUCION
20231000000323
20231000000693
20231000001023
2023100001363
20231000001953</t>
  </si>
  <si>
    <t>Adquisición de insumos varios para la Imprenta Nacional para Ciegos del INCI. (Anillos, acrílicos, cajas, tintas, planchas litográficas u otros)
Se modifica por:
Adquisición de láminas de acrílico para la producción de material accesible en la imprenta Nacional para Ciegos.</t>
  </si>
  <si>
    <t>Adquisición de cajas de cartón para el proceso de empaque en la Imprenta Nacional para Ciegos del INCI.</t>
  </si>
  <si>
    <t>2
Se modifica a 5
Se modifica a 6
Se modifica a 8</t>
  </si>
  <si>
    <t>2
Se modifica a 7
Se modifica a 6
Se modifica a 1</t>
  </si>
  <si>
    <t>Andrea Pamplona</t>
  </si>
  <si>
    <t>RESOLUCION
2023100001983</t>
  </si>
  <si>
    <t xml:space="preserve">5/06/2023
2023-07-04 </t>
  </si>
  <si>
    <t>19223-23823</t>
  </si>
  <si>
    <t>3423-22423</t>
  </si>
  <si>
    <t>3523-23123</t>
  </si>
  <si>
    <t>3623-23223</t>
  </si>
  <si>
    <t>105-</t>
  </si>
  <si>
    <t>ROJAS SANCHEZ OSCAR ENRIQUE</t>
  </si>
  <si>
    <t>106-</t>
  </si>
  <si>
    <t>6523-24423</t>
  </si>
  <si>
    <t xml:space="preserve">3/03/2023
2023-07-12 </t>
  </si>
  <si>
    <t>045-108</t>
  </si>
  <si>
    <t>107-</t>
  </si>
  <si>
    <t>6323-25323</t>
  </si>
  <si>
    <t xml:space="preserve">2/03/2023
2023-07-24 </t>
  </si>
  <si>
    <t>041-110</t>
  </si>
  <si>
    <t>Suministro del anillo doble “O” para la fabricación y manufactura de productos accesibles en la Imprenta Nacional para Ciegos del INCI.
Se cambia asi: 
Adquisición de anillo doble “O” para la fabricación y manufactura de productos accesibles en la Imprenta Nacional para Ciegos del INCI</t>
  </si>
  <si>
    <t>1
Se modifica a 2
Se modifica a 7
Semodifica a 8</t>
  </si>
  <si>
    <t>1
Se modifica a 2
Se modifica a 7
Se modifica a 8</t>
  </si>
  <si>
    <t>11
Se modifica a 315 días
Se modifica a 6
Se modificaa 5</t>
  </si>
  <si>
    <r>
      <t xml:space="preserve">Contratación de prestación de servicio para soporte y mantenimiento de la página web, el aplicativo de asistencia técnica 
</t>
    </r>
    <r>
      <rPr>
        <b/>
        <sz val="12"/>
        <rFont val="Arial"/>
        <family val="2"/>
      </rPr>
      <t xml:space="preserve">Se cambia por </t>
    </r>
    <r>
      <rPr>
        <sz val="12"/>
        <rFont val="Arial"/>
        <family val="2"/>
      </rPr>
      <t xml:space="preserve">
Contratación de prestación de servicio para soporte y mantenimiento de la página web del instituto nacional para ciegos</t>
    </r>
  </si>
  <si>
    <t>CONTRATO PRESTACIÓN SERVICIOS 
(Técnico)</t>
  </si>
  <si>
    <t>3823-7423-11723-17523-21823-23723</t>
  </si>
  <si>
    <t>4123-9623-13323-17423-23323-25523</t>
  </si>
  <si>
    <t>14/02/2023
2023-03-23
2023-04-26
2023-05-29
2023-06-28
2023-07-27</t>
  </si>
  <si>
    <t>RESOLUCION
20231000000323
20231000000693
20231000001023
2023100001363
20231000001953
20231000002253</t>
  </si>
  <si>
    <t>GUAVAVE LINARES XIMENA</t>
  </si>
  <si>
    <t>RESOLUCION
20231000001993</t>
  </si>
  <si>
    <t>MCO GLOBAL S A S</t>
  </si>
  <si>
    <t>8123-26123</t>
  </si>
  <si>
    <t>22/03/2023
2023-08-01</t>
  </si>
  <si>
    <t>049-113</t>
  </si>
  <si>
    <t>COMERCIALIZADORA COMSILA SAS</t>
  </si>
  <si>
    <t>112-</t>
  </si>
  <si>
    <t xml:space="preserve">Circular No 2 </t>
  </si>
  <si>
    <t xml:space="preserve">Circular No 1
Circular No 2
</t>
  </si>
  <si>
    <t>1
Se modifica a 2
Se modifica a 8</t>
  </si>
  <si>
    <t>11
Se modifica a 315 días
Se modifica a 5</t>
  </si>
  <si>
    <t xml:space="preserve">Servicio de mantenimiento correctivo y preventivo de las máquinas impresoras UV LED y cortadora de láser .
Se modifica por: 
Suministro de repuestos para las máquinas impresoras Direct Color Systems 1800Z, Direct Color Systems 1800 BG y Cortadora Laser Epilog Mini/Helix de la Imprenta Nacional para Ciegos del INCI.
Se modifica así:
Suministro de repuestos y prestación servicio de técnico para el mantenimiento preventivo y/o correctivo para las máquinas impresoras UV LED y Cortadora Laser de la Imprenta Nacional para Ciegos del INCI.
Se modifica asi:
Realizar el mantenimiento preventivo, mantenimiento correctivo y el suministro de repuestos que se requiera para las máquinas impresoras UV LED y la Cortadora Laser de la Imprenta Nacional para Ciegos del INCI
</t>
  </si>
  <si>
    <t>Adquisición de láminas de acrílico para la producción de material accesible en la imprenta Nacional para Ciegos.</t>
  </si>
  <si>
    <t xml:space="preserve">
Circular No 2</t>
  </si>
  <si>
    <t>Adquisición de bolsas de empaque y cinta adhesiva para el proceso de embalaje de la producción realizada en la Imprenta del Instituto Nacional para Ciegos.</t>
  </si>
  <si>
    <t>Adquisición de gato estibador hidraulico para el transporte de carga en la imprenta Nacional para Ciegos</t>
  </si>
  <si>
    <t>8
Se modifica a 9</t>
  </si>
  <si>
    <t>Prestación de servicios para la recolección, transporte, almacenamiento, aprovechamiento, recuperación, tratamiento y/o disposición final de Residuos Peligrosos y/o Especiales generados por el INCI, lo cual incluye la entrega del correspondiente certificado de disposición final, dando cumplimiento con lo señalado en la normativa ambiental vigente</t>
  </si>
  <si>
    <t>1
Se modifica a 8</t>
  </si>
  <si>
    <t>11
Se modifica a 5</t>
  </si>
  <si>
    <t>7
Se modifica a 8</t>
  </si>
  <si>
    <t>Adquisición de computadores de escritorio para la gestión y control de procesos de impresión industrial y semiindustrial braille y de Inyección de Tinta UV LED en la Imprenta Nacional para Ciegos del INCI</t>
  </si>
  <si>
    <t>Adquisición de mobiliario para el correcto almacenamiento de materia prima, producto en proceso y producto terminado.</t>
  </si>
  <si>
    <t>Circular No 1
Circular no 2</t>
  </si>
  <si>
    <t>4
Se modifica a 8</t>
  </si>
  <si>
    <t>3
Se modifica a 8</t>
  </si>
  <si>
    <t>3
Se modifica a 2</t>
  </si>
  <si>
    <t>Contrato de mantenimiento de la infraestructura física del INCI</t>
  </si>
  <si>
    <t>6
Se modifica a 8</t>
  </si>
  <si>
    <t>3823-7423-11723-17523-23723-26123</t>
  </si>
  <si>
    <t>CAJA DE COMPENSACION FAMILIAR CAFAM</t>
  </si>
  <si>
    <t>114-</t>
  </si>
  <si>
    <t>116-</t>
  </si>
  <si>
    <t>FUMIGACIONES EL TRIUNFO CAR SAS</t>
  </si>
  <si>
    <t>4123-9623-13323-17423-25523-27823</t>
  </si>
  <si>
    <t xml:space="preserve">14/02/2023
2023-03-23
2023-04-26
2023-05-29
V2023-07-27
2023-08-29 </t>
  </si>
  <si>
    <t>RESOLUCION
20231000000323
20231000000693
20231000001023
2023100001363
20231000002253
20231000002553</t>
  </si>
  <si>
    <t>9823-19523-25323</t>
  </si>
  <si>
    <t>11323-21023-27623</t>
  </si>
  <si>
    <t>11/04/2023
2023-06-14
2023-08-23</t>
  </si>
  <si>
    <t>1423-13323-24623</t>
  </si>
  <si>
    <t>1323-16123-27223</t>
  </si>
  <si>
    <t xml:space="preserve">18/01/2023
2023-05-19
2023-08-23 </t>
  </si>
  <si>
    <t>006-2023
115-</t>
  </si>
  <si>
    <t>FANNY EDITH QUIROGA
CANTILLO FORERO CARMEN ELENA</t>
  </si>
  <si>
    <t>20123-23823-25223</t>
  </si>
  <si>
    <t>117-</t>
  </si>
  <si>
    <t>23623-26523-28423</t>
  </si>
  <si>
    <t>4/07/2023
2023-08-11
05-09-2023</t>
  </si>
  <si>
    <t>118-</t>
  </si>
  <si>
    <t>TECNOLOGIA INFORMATICA TECINF SAS</t>
  </si>
  <si>
    <t>CLUSTER DE SERVICIOS SAS</t>
  </si>
  <si>
    <t>1623-15223-26623</t>
  </si>
  <si>
    <t>1123
16023
28823</t>
  </si>
  <si>
    <t>17/01/2023
2023-05-18 
2023-09-19</t>
  </si>
  <si>
    <t>Circular No 3</t>
  </si>
  <si>
    <t>Circular No 2
Circular No 3</t>
  </si>
  <si>
    <t xml:space="preserve">
Circular No 2
Circular No 3</t>
  </si>
  <si>
    <t>9
Se modifica a 10</t>
  </si>
  <si>
    <t>Contratación de prestación de servicios de apoyo a la gestión de 10 personas  para la producción de tarjetones electorales accesibles elaborados en la Imprenta Nacional para Ciegos para el proceso de elecciones locales 2023
Se modifica así:
Contratación de prestación de servicios de apoyo a la gestión de 15 personas  para la producción de tarjetones electorales accesibles elaborados en la Imprenta Nacional para Ciegos para el proceso de elecciones locales 2023
Se modifica así: 
Prestación de servicios de apoyo a la gestión para la producción de tarjetones electorales accesibles elaborados en la Imprenta Nacional para Ciegos para el proceso de elecciones locales 2023 (15 personas)</t>
  </si>
  <si>
    <t>Menor Cuantía
Se modifica a minima cuantía
Se modifica a Contratación Directa</t>
  </si>
  <si>
    <t>20223-23623-24823-26523-27923</t>
  </si>
  <si>
    <t>122-</t>
  </si>
  <si>
    <t>ANILLO DOBLE O S A S</t>
  </si>
  <si>
    <t>Adquisición de Plotter de corte y de impresión para la producción de material accesible en la imprenta del Instituto Nacional para Ciegos.</t>
  </si>
  <si>
    <t>Nestor Buitrago</t>
  </si>
  <si>
    <t>25623-28623</t>
  </si>
  <si>
    <t>6623-29023</t>
  </si>
  <si>
    <t>SOLUCIONES INTEGRALES VER S .A .S . E .P.</t>
  </si>
  <si>
    <t>23523-25823-28123-28923-30823</t>
  </si>
  <si>
    <t xml:space="preserve">4/07/2023
2023-07-31 
2023-08-31
2023-09-20 
2023-09-29 
</t>
  </si>
  <si>
    <t>SERVICIOS Y SUMINISTROS INSTITUCIONALES SAS</t>
  </si>
  <si>
    <t>124-</t>
  </si>
  <si>
    <t>INVERSIONES JIMSA S.A.S</t>
  </si>
  <si>
    <t>7723-9623-9723-10623-10723-10923-10823-11523-11423-11623-11823-16123-16523-20323-22623-22723-23523-24123-26723-26823-27423-27823-29923</t>
  </si>
  <si>
    <t>Circular No 1
Circular No 3</t>
  </si>
  <si>
    <t>Circular No 1
Circular No 2
Circular No 3</t>
  </si>
  <si>
    <t>GASTOS DE VIAJE</t>
  </si>
  <si>
    <t>4023-7123-9423-14223-18423-22123-24223-28123-29123-30523</t>
  </si>
  <si>
    <t>823-30623</t>
  </si>
  <si>
    <t>3323-6923-11123-15323-19323-24023-26423-29123-30223-32923</t>
  </si>
  <si>
    <t>6/02/2023
2023-04-10
07-03-2023
2023-05-12
2023-06-05
2023-07-06
2023-08-10
2023-09-20
2023-09-26
2023-10-09</t>
  </si>
  <si>
    <t>FIDUCIARIA LA PREVISORA S.A.</t>
  </si>
  <si>
    <t>CIRCULAR 009 MINHACIENDA</t>
  </si>
  <si>
    <t>092-</t>
  </si>
  <si>
    <t>31423
31523
31623
31723
31823
31923
32223
32123
32323
32423
32523
32623</t>
  </si>
  <si>
    <t>3/10/2023
04/10/2023
2023-10-05</t>
  </si>
  <si>
    <t>126
127
128
129
130
131
132
125
134
135
136
133</t>
  </si>
  <si>
    <t>EYNER ALEXANDER RAMIREZ MELO
REIVEN ORLANDO POVEDA PINTO
KATIA PATRICIA CORRALES MARTELO
MARIA ALEJANDRA OTALORA TORRES
MARIA NATALIA NAVARRETE GARCIA
SANDRA MILENA LOPEZ SANCHEZ
DAVID ALEXANDER HERNANDEZ VELASQUEZ
LOPEZ FLECHAS CARMEN ALICIAGUILLEN ZAMBRANO DENISE DAHIANAPARRA RODRIGUEZ DIEGO ALEXANDER
SILVA BAUTISTA ADRIANA
BETANCUR VESGA LEIDY KATHERINE</t>
  </si>
  <si>
    <t>32723
32823</t>
  </si>
  <si>
    <t>6/10/2023
2023-10-09</t>
  </si>
  <si>
    <t>WALTEROS EDWIN
VEGA SILVA DANIEL FERNANDO</t>
  </si>
  <si>
    <t>137-138</t>
  </si>
  <si>
    <t>140-</t>
  </si>
  <si>
    <t>FORMARCHIVOS Y SUMINISTROS SAS</t>
  </si>
  <si>
    <t>139-</t>
  </si>
  <si>
    <t>MULTISUMINISTROS S.A.S.</t>
  </si>
  <si>
    <t xml:space="preserve">Prestar el servicio de mantenimiento recarga de extintores y prueba hidrostatica de mangueras gabinete contra incendios </t>
  </si>
  <si>
    <t>29923-31523</t>
  </si>
  <si>
    <t>7723-9623-9723-10623-10723-10923-10823-11523-11423-11623-11823-16123-16523-20223-22623-22723-23523-23623-24123-24823-26523-26723-26823-27423-27823-27923-28523-28723-28823-29923-31523</t>
  </si>
  <si>
    <t>5823-34523</t>
  </si>
  <si>
    <t>1/03/2023
2023-10-23</t>
  </si>
  <si>
    <t>SEGURIDAD PERCOL S.AS.</t>
  </si>
  <si>
    <t>RES. 20231000003223</t>
  </si>
  <si>
    <t>7723-11423-11523-13423-13723-13823-13923-14623-14723-20023-19123-22523-25723-25923-26323-27523-30423-30523-30923-31223-35023</t>
  </si>
  <si>
    <t>16/03/2023
2023-04-12 
2023-04-27
2023-04-28
2023-05-02
2023-05-05
2023-06-07
2023-06-05 
2023-06-26
2023-07-31 
2023-08-04
2023-08-23
29-09-2023
24-10-2023</t>
  </si>
  <si>
    <t>RESOLUCION
2023100000463
2023100000823
2023100000833
2023100001053
2023100001063
2023100001073
2023100001103
2023100001113
2023100001453
20231000001613
20231000002263
20231000002283
20231000003213</t>
  </si>
  <si>
    <t>35023-35223</t>
  </si>
  <si>
    <t>7723-11423-11523-13423-13723-13823-13923-14623-14723-20023-19123-23523-25723-25823-25923-26323-27523-28123-28923-30423-30523-30723-30823-30923-31223-33223-34223-35023-35223</t>
  </si>
  <si>
    <t>24/10/2023
25-10-2023</t>
  </si>
  <si>
    <t>16/03/2023
2023-04-12 
2023-04-27
2023-04-28
2023-05-02
2023-05-05
2023-06-07
2023-06-05 
2023-07-04
2023-07-31  
2023-08-04
2023-08-23
2023-08-31
2023-09-20
29-09-2023 
2023-10-11
2023-10-19
2023-10-24
25-10-2023</t>
  </si>
  <si>
    <t>RESOLUCION
20231000003213
20231000003253</t>
  </si>
  <si>
    <t>RESOLUCION
2023100000463
2023100000823
2023100000833
2023100001053
2023100001063
2023100001073
2023100001103
2023100001113
2023100001983
2023100001453
20231000002263
20231000002283
20231000003063
20231000003153
20231000003213
20231000003253</t>
  </si>
  <si>
    <t>RESOLUCION
20231000003293</t>
  </si>
  <si>
    <t>19223-23623-23823-26523-28423-35123-35523</t>
  </si>
  <si>
    <t>5/06/2023
2023-07-04 
2023-08-11
05-09-2023; 24-10-2023;30-10-2023</t>
  </si>
  <si>
    <t>RESOLUCION
20231000001403
20231000001993; 20231000003223; 20231000003293</t>
  </si>
  <si>
    <t>RESOLUCION 
20231000003273</t>
  </si>
  <si>
    <t>8423-11323-12023--13523-13623-21023-21123-22323-27623-27723-28323-29423-30123-32023-32123-32223-32523</t>
  </si>
  <si>
    <t>142 - 2023</t>
  </si>
  <si>
    <t>Contratación de servicios profesionales de un diseñador gráfico para la elaboración de piezas y contenidos institucionales.(Adición)</t>
  </si>
  <si>
    <t>4523 - 36323</t>
  </si>
  <si>
    <t>2023-02-17 
2023-11-08</t>
  </si>
  <si>
    <t>24023-33323</t>
  </si>
  <si>
    <t>10923-14923-14923-16423-19923-23723-24223-24623-31023-33323-33523-35923-36023-36123-36423</t>
  </si>
  <si>
    <t>31/03/2023
2023-05-08
2023-05-19-
2023-06-07
2023-07-04
2023-07-06 
2023-07-17 
2023-09-29
2023-10-11
2023-11-01
2023-11-01
2023-11-01
2023-11-14</t>
  </si>
  <si>
    <t>RESOLUCION
2023100000773
20231000001093
20231000003063
20231000003053
20231130003373
202311130003393
20231130003383
20231130003403</t>
  </si>
  <si>
    <t>10823-14823-16523-19823-22623-22723-30623-31123-33123-33423-33623-34323-36523-36623</t>
  </si>
  <si>
    <t>31/03/2023
2023-05-08
2023-05-19
2023-06-07-
23-06-2023
2023-09-29
2023-10-11
2023-10-19
2023-11-14
2023-11-14</t>
  </si>
  <si>
    <t>RESOLUCION
2023100000763
20231000001083
20231000001603
20231000001593
20231000002993
20231000003073
20231000003083
20231130003423
20231130003413</t>
  </si>
  <si>
    <t>ADAMCOL S.A.S.</t>
  </si>
  <si>
    <t>CONTRATO No. 143</t>
  </si>
  <si>
    <t>26923-37023</t>
  </si>
  <si>
    <t>17/08/2023
17-11-2023</t>
  </si>
  <si>
    <t>SOLUCIONES ORION SUCURSAL COLOMBIA -  
NIMBUTECH S.A.S.</t>
  </si>
  <si>
    <t>101564 CONTRATO 106-2022; ORDEN DE COMPRA  
144-2023</t>
  </si>
  <si>
    <t>Certificación ascensor y puerta levadiza
se cambia por:
 Contratar la prestación del servicio de Inspección y certificación de los sistemas de transporte vertical (ascensores) para el Instituto Nacional para Ciegos -INCI-</t>
  </si>
  <si>
    <t>10423-22223-37723-37823</t>
  </si>
  <si>
    <t>29/03/2023
23-06-2023
24-11-2023
24-11-2023</t>
  </si>
  <si>
    <t>8923-11223-11923-13723-13823-20423-20523-27223-27323-27523-28423-29323-29623-29823-30023-32323-32423</t>
  </si>
  <si>
    <t>8923-11223-11923-13723-13823-27223-27323-27523-28423-29323-29623-29823-31123-32323-32423-34123</t>
  </si>
  <si>
    <t>30023-37923</t>
  </si>
  <si>
    <t>26/09/2023
27-11-2023</t>
  </si>
  <si>
    <t>123 - ADICION Y PRORROGA</t>
  </si>
  <si>
    <t xml:space="preserve">10
</t>
  </si>
  <si>
    <t>10
Se modifica a 11</t>
  </si>
  <si>
    <t>Adquisición de máquinas de impresión UV LED para la producción de material accesible en la imprenta del Instituto Nacional para Ciegos.</t>
  </si>
  <si>
    <t>Circular No 1 
Circular No 3</t>
  </si>
  <si>
    <t>Circular No 1 
Circular No 2
Circular No 3</t>
  </si>
  <si>
    <t>31023</t>
  </si>
  <si>
    <t>16223-20823-20123-23823-25223-30923-31023</t>
  </si>
  <si>
    <t>10823-14823-16523-19823-30623-31123-33123-33423-34323-35723-36523-36623-38323</t>
  </si>
  <si>
    <t>31/03/2023
2023-05-08
2023-05-19
2023-06-07
2023-09-29
2023-10-11
2023-10-19
2023-10-30
2023-11-14
2023-11-14
2023-11-28</t>
  </si>
  <si>
    <t>RESOLUCION
2023100000763
20231000001083
20231000002993
20231000003073
20231000003273
20231130003423
20231130003413
20231000003733</t>
  </si>
  <si>
    <t>SEGURIDAD ACROPOLIS LIMITADA
ACTA DE LIQUIDACION 12-MAY-23</t>
  </si>
  <si>
    <t>RES. ORD-80117-0311-2023</t>
  </si>
  <si>
    <t>CONTRALORIA GENERAL DE LA REPUBLICA</t>
  </si>
  <si>
    <t>003-2023
064- Y ADICION Y PRORROGA</t>
  </si>
  <si>
    <t>ADICION Y PRORROGA CONT. 052-2023</t>
  </si>
  <si>
    <t>4923-20823</t>
  </si>
  <si>
    <t>34923</t>
  </si>
  <si>
    <t>13423 - 35023</t>
  </si>
  <si>
    <t>4023-7123-9423-14223-18423-22123-24223-28123-29123-30523-32723-35123</t>
  </si>
  <si>
    <t>3323-6923-11123-15323-19323-24023-26423-29123-30223-32923-36223-38823</t>
  </si>
  <si>
    <t>6/02/2023
2023-04-10
07-03-2023
2023-05-12
2023-06-05
2023-07-06
2023-08-10
2023-09-20
2023-09-26
2023-10-09
2023-11-07
2023-12-11</t>
  </si>
  <si>
    <t>29123-30523-35123</t>
  </si>
  <si>
    <t>30223-32923-38823</t>
  </si>
  <si>
    <t>26/09/2023
2023-10-09
2023-12-11</t>
  </si>
  <si>
    <t>30523-32723-35123</t>
  </si>
  <si>
    <t>32923-36223-38823</t>
  </si>
  <si>
    <t>9/10/2023
7-11-2023
11-12-2023</t>
  </si>
  <si>
    <t>17523-38923</t>
  </si>
  <si>
    <t>30/05/2023
12-12-2023</t>
  </si>
  <si>
    <t>069-
ADIC. Y PRORROGA</t>
  </si>
  <si>
    <t>EXTINTORES FIREXT SAS</t>
  </si>
  <si>
    <t>145-2023</t>
  </si>
  <si>
    <t>Circular No 1
Circular No 2
Circular No 3
12 diciembre adición</t>
  </si>
  <si>
    <t>35623-36123-37223-37423-39223</t>
  </si>
  <si>
    <t>2023-10-30
2023-11-01
2023-11-21
2023-21-11
2023-12-12</t>
  </si>
  <si>
    <t>RESOLUCION 
20231000003283
20231130003383
20231130003493
20231130003503
20231000003853</t>
  </si>
  <si>
    <t>RESOLUCION
2023100000773
20231000001093
20231000003063
20231000003053
20231000003283
202311130003373
202311130003393
20231130003383
20231130003403
20231130003493
20231130003503
20231000003743
20231000003853</t>
  </si>
  <si>
    <t>10923-14923-14923-16423-19923-23723-24223-24623-31023-33323-33523-35623-35923-36023-36123-36423- 37223-37423-38423-39223</t>
  </si>
  <si>
    <t>31/03/2023
2023-05-08
2023-05-19
2023-06-07
2023-07-04
2023-07-06 
2023-07-17 
2023-09-29
2023-10-11
2023-10-30
2023-11-01
2023-11-01
2023-11-01
2023-11-14
2023-11-21
2023-11-21
2023-11-28
2023-12-12</t>
  </si>
  <si>
    <t>Renovación del licenciamiento del Software del Sistema Integrado de Gestión y Acompañamiento en la parametrización del Software del Sistema Integrado de Gestión
Se modifica por: 
Renovación, adquisición y configuración de las licencias de acceso en la nube a los módulos de indicadores, planes, documentos y gestión del riesgo del software Suite Visión Empresarial para el manejo del Sistema Integrado de Gestión del Instituto Nacional para Ciegos INCI</t>
  </si>
  <si>
    <t>Contratación de prestación de servicios para el Mantenimiento correctivo y preventivo (Incluida bolsa de repuestos, baterías y demás elementos que se requieran) de los equipos de escritorio (torre), equipos All in One (todo en uno), equipos portátiles, servidores y UPS (uninterruptible power supply) del Instituto Nacional para Ciegos – INCI.
Se unifica con el siguiente y queda así:
Contratación de prestación de servicios para el mantenimiento preventivo y correctivo de UPS (uninterruptible power supply), equipos de cómputo, portátiles, servidores, impresoras y scanner, incluida una bolsa de repuestos para los cambios requeridos</t>
  </si>
  <si>
    <t>Contratación mantenimiento correctivo y preventivo de Impresoras, scanner y otros dispositivos de informática y adquisición de bolsa de repuestos para impresoras, scanner y otros dispositivos de informática
Se unifico con el anterior: 
Contratación de prestación de servicios para el mantenimiento preventivo y correctivo de UPS (uninterruptible power supply), equipos de cómputo, portátiles, servidores, impresoras y scanner, incluida una bolsa de repuestos para los cambios requeridos</t>
  </si>
  <si>
    <t>81112308;81112201-81112306;44103125;81112220;44103107;81112307;72151514;26111701;39121009;39121004</t>
  </si>
  <si>
    <t>1523-1823-5723-5923-8223-8323-10023-10123-14723-14823-19823-19923-22823-23023-24323-24423-26923-27023-30723-31323-33523-33623-35223-35423</t>
  </si>
  <si>
    <t>623-1423-4223-5023-7823-7923-11623-11823-15423-15523-21823-21923-24523-24823-26623-26723-28623-28723-34123-33923-36823-36923-39123-39423</t>
  </si>
  <si>
    <t>16/01/2023 - 18-01-2023-16-02-2023-20-02-2023-2023-03-22-17-04-2023-2023-05-15 
2023-06-2023-17-07-2023
2023-08-16
19-09-2023
2023-10-17
19-10-2023
16-11-2023
16-11-2023
12-12-2023
14-12-2023</t>
  </si>
  <si>
    <t>INCOL INGENIERIA DE INSPECCION COLOMBIANA SAS</t>
  </si>
  <si>
    <t>146-2023</t>
  </si>
  <si>
    <t>ADICION Y PRORROGA CONT. 112-2023</t>
  </si>
  <si>
    <t>1223-35623</t>
  </si>
  <si>
    <t>31223-32123-32923-33023-34523</t>
  </si>
  <si>
    <t>12023-8423-11323-13523-13623-21023-21123-22323-27623-27723-28323-29423-30123-31223-32023-32123-32223-32523-32923-33023-34023-34523</t>
  </si>
  <si>
    <t>Adquisición de 4 máquinas de impresión Index Braille Everest para la Imprenta Nacional para Ciegos del INCI, de acuerdo a sus requerimientos y necesidades técnicas.</t>
  </si>
  <si>
    <t>43212102
43201537
43212106
23261507</t>
  </si>
  <si>
    <t>COMPRAVENTA</t>
  </si>
  <si>
    <t>6423-36023</t>
  </si>
  <si>
    <t>147-2023</t>
  </si>
  <si>
    <t>PENSEMOS S.A</t>
  </si>
  <si>
    <t>30 días</t>
  </si>
  <si>
    <t>Prestar servicios profesionales para la gestión, apoyo y trámite en la Oficina Asesora Juridica del Instituto Nacional para Ciegos – INCI. (Adición)</t>
  </si>
  <si>
    <t>Prestar sus servicios de tecnólogo en gestión documental, apoyando la gestión del sistema de gestion documental ORFEO y la elaboración y  ejecución de los planes, actividades y compromisos establecidos para el proceso de gestión documental durante la vigencia 2023 en el Instituto Nacional para Ciegos – INCI.
CONTRATO Y EN DICIEMBRE ADICIÓN</t>
  </si>
  <si>
    <t>2823-16323-36323</t>
  </si>
  <si>
    <t>148-2023</t>
  </si>
  <si>
    <t>ADICION Y PRORROGA CONT. 104-2023</t>
  </si>
  <si>
    <t>4723-7223-9523-12723-18523-22223-23923-29523-31823-34223-36623</t>
  </si>
  <si>
    <t>6023 - 40923</t>
  </si>
  <si>
    <t>1/03/2023
27-12-2023</t>
  </si>
  <si>
    <t>105601/039-2023
ADICION Y PRORROGA</t>
  </si>
  <si>
    <t xml:space="preserve">Prestación de servicios profesionales en la oficina Asesora de Control Interno del Instituto Nacional para Ciegos – INCI, para apoyar la ejecución y monitoreo del Plan de Auditorías para la vigencia 2023
Adición diciembre </t>
  </si>
  <si>
    <t xml:space="preserve">Prestación de servicios profesionales en actividades de análisis, registro, control y seguimiento en el procedimiento contable y en los afines dentro del proceso financiero del Instituto Nacional para Ciegos – INCI.
Adición diciembre </t>
  </si>
  <si>
    <t>Prestar servicios profesionales en la Oficina Asesora Juridica del INCI, como abogada para la gestión y trámite del proceso contractual de la entidad
Adición diciembre</t>
  </si>
  <si>
    <t>923-14923-37123</t>
  </si>
  <si>
    <t>3223-17623-41023</t>
  </si>
  <si>
    <t>1/02/2023
2023-06-01 
27-12-2023</t>
  </si>
  <si>
    <t>021-2023
071
ADICION Y PRORROGA</t>
  </si>
  <si>
    <t>3323-12823-37223</t>
  </si>
  <si>
    <t>Prestación de servicios profesionales para ejecución de las actividades  en el perfil de pagador y los afines asignados en el  Sistema Integrado de Información Financiera (SIIF) dentro proceso Financiero del INCI
Se cambia por: 
Prestación de servicios profesionales para depuración contable de la cuenta propiedad planta y equipo aplicativo WEB SAFI  en labores de registro, control y seguimiento y apoyo en actividades referentes a elaboración de estudios previos del área administrativa y financiera  
Adición diciembre</t>
  </si>
  <si>
    <t>1623
16223
41123</t>
  </si>
  <si>
    <t>18/01/2023
2023-05-19
2023-12-28</t>
  </si>
  <si>
    <t xml:space="preserve">009-2023
067-
ADICION Y PRORROGA </t>
  </si>
  <si>
    <t>723-15123-34623-36723</t>
  </si>
  <si>
    <t>823-15923-38623-41223</t>
  </si>
  <si>
    <t>16/01/2023
2023-05-18
2023-11-30
2023-12-28</t>
  </si>
  <si>
    <t>3123-15123-41323</t>
  </si>
  <si>
    <t>1/02/2023
2023-05-10 
2023-12-28</t>
  </si>
  <si>
    <t>020-2023
059-
ADICION Y PRORROGA</t>
  </si>
  <si>
    <t>ADICION Y PRORROGA</t>
  </si>
  <si>
    <t>MARIA AURORA CASTRO RODRIGUEZ</t>
  </si>
  <si>
    <t>2223-17123-37323</t>
  </si>
  <si>
    <t>2123-17723-41723</t>
  </si>
  <si>
    <t>27/01/2023
2023-06-01
2023-12-28</t>
  </si>
  <si>
    <t>011-2023
072
ADICION Y PRORROGA</t>
  </si>
  <si>
    <t>3723-7023-11223-14523-19423-24123-26023-30323-34623-37623+40723</t>
  </si>
  <si>
    <t>8/02/2023
2023-03-07
2023-10-04 
05-05-2023
2023-06-05
2023-07-06
2023-08-01
2023-09-27
2023-10-23
2023-11-24
2023-12-26</t>
  </si>
  <si>
    <t>RESERVA</t>
  </si>
  <si>
    <t>CXPAGAR</t>
  </si>
  <si>
    <t>ELMER ARIAS</t>
  </si>
  <si>
    <t>PAGO SENTENCIA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</si>
</sst>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_-;\-&quot;$&quot;\ * #,##0_-;_-&quot;$&quot;\ * &quot;-&quot;??_-;_-@_-"/>
    <numFmt numFmtId="166" formatCode="_-* #,##0.00_-;\-* #,##0.00_-;_-* &quot;-&quot;_-;_-@_-"/>
    <numFmt numFmtId="167" formatCode="#,##0.00;[Red]#,##0.00"/>
    <numFmt numFmtId="168" formatCode="#,##0;[Red]#,##0"/>
  </numFmts>
  <fonts count="45" x14ac:knownFonts="1">
    <font>
      <sz val="11"/>
      <color theme="1"/>
      <name val="Calibri"/>
      <family val="2"/>
      <scheme val="minor"/>
    </font>
    <font>
      <sz val="14"/>
      <name val="Arial"/>
      <family val="2"/>
    </font>
    <font>
      <sz val="14"/>
      <color theme="1"/>
      <name val="Arial"/>
      <family val="2"/>
    </font>
    <font>
      <b/>
      <sz val="14"/>
      <color theme="1"/>
      <name val="Calibri"/>
      <family val="2"/>
      <scheme val="minor"/>
    </font>
    <font>
      <sz val="11"/>
      <color theme="1"/>
      <name val="Calibri"/>
      <family val="2"/>
      <scheme val="minor"/>
    </font>
    <font>
      <sz val="11"/>
      <color theme="0"/>
      <name val="Calibri"/>
      <family val="2"/>
      <scheme val="minor"/>
    </font>
    <font>
      <sz val="12"/>
      <color theme="1"/>
      <name val="Arial"/>
      <family val="2"/>
    </font>
    <font>
      <b/>
      <sz val="10"/>
      <color theme="1"/>
      <name val="Verdana"/>
      <family val="2"/>
    </font>
    <font>
      <sz val="10"/>
      <name val="Arial"/>
      <family val="2"/>
    </font>
    <font>
      <sz val="12"/>
      <name val="Arial"/>
      <family val="2"/>
    </font>
    <font>
      <u/>
      <sz val="11"/>
      <color theme="10"/>
      <name val="Calibri"/>
      <family val="2"/>
      <scheme val="minor"/>
    </font>
    <font>
      <b/>
      <sz val="14"/>
      <color indexed="81"/>
      <name val="Tahoma"/>
      <family val="2"/>
    </font>
    <font>
      <sz val="14"/>
      <color indexed="81"/>
      <name val="Tahoma"/>
      <family val="2"/>
    </font>
    <font>
      <b/>
      <sz val="9"/>
      <color indexed="81"/>
      <name val="Tahoma"/>
      <family val="2"/>
    </font>
    <font>
      <sz val="9"/>
      <color indexed="81"/>
      <name val="Tahoma"/>
      <family val="2"/>
    </font>
    <font>
      <b/>
      <sz val="14"/>
      <name val="Arial"/>
      <family val="2"/>
    </font>
    <font>
      <sz val="16"/>
      <color rgb="FF000000"/>
      <name val="Arial"/>
      <family val="2"/>
    </font>
    <font>
      <sz val="12"/>
      <color rgb="FF000000"/>
      <name val="Arial"/>
      <family val="2"/>
    </font>
    <font>
      <sz val="10"/>
      <color theme="1"/>
      <name val="Verdana"/>
      <family val="2"/>
    </font>
    <font>
      <sz val="12"/>
      <color rgb="FFFF0000"/>
      <name val="Arial"/>
      <family val="2"/>
    </font>
    <font>
      <u/>
      <sz val="11"/>
      <name val="Calibri"/>
      <family val="2"/>
      <scheme val="minor"/>
    </font>
    <font>
      <sz val="14"/>
      <color rgb="FF000000"/>
      <name val="Arial"/>
      <family val="2"/>
    </font>
    <font>
      <b/>
      <sz val="18"/>
      <name val="Calibri"/>
      <family val="2"/>
      <scheme val="minor"/>
    </font>
    <font>
      <b/>
      <sz val="12"/>
      <name val="Arial"/>
      <family val="2"/>
    </font>
    <font>
      <b/>
      <sz val="12"/>
      <color theme="1"/>
      <name val="Arial"/>
      <family val="2"/>
    </font>
    <font>
      <b/>
      <sz val="12"/>
      <color theme="1"/>
      <name val="Calibri"/>
      <family val="2"/>
      <scheme val="minor"/>
    </font>
    <font>
      <sz val="12"/>
      <color theme="1"/>
      <name val="Calibri"/>
      <family val="2"/>
      <scheme val="minor"/>
    </font>
    <font>
      <sz val="11"/>
      <color rgb="FF000000"/>
      <name val="Arial"/>
      <family val="2"/>
    </font>
    <font>
      <sz val="12"/>
      <name val="Arial Narrow"/>
      <family val="2"/>
    </font>
    <font>
      <b/>
      <sz val="16"/>
      <color rgb="FF000000"/>
      <name val="Arial"/>
      <family val="2"/>
    </font>
    <font>
      <sz val="48"/>
      <color theme="8" tint="-0.249977111117893"/>
      <name val="Arial"/>
      <family val="2"/>
    </font>
    <font>
      <sz val="11"/>
      <color rgb="FF000000"/>
      <name val="Calibri"/>
      <family val="2"/>
      <scheme val="minor"/>
    </font>
    <font>
      <b/>
      <sz val="14"/>
      <color rgb="FF000000"/>
      <name val="Arial"/>
      <family val="2"/>
    </font>
    <font>
      <sz val="16"/>
      <name val="Arial"/>
      <family val="2"/>
    </font>
    <font>
      <sz val="16"/>
      <color theme="1"/>
      <name val="Arial"/>
      <family val="2"/>
    </font>
    <font>
      <sz val="48"/>
      <name val="Arial"/>
      <family val="2"/>
    </font>
    <font>
      <sz val="18"/>
      <name val="Arial"/>
      <family val="2"/>
    </font>
    <font>
      <sz val="12"/>
      <color rgb="FF242424"/>
      <name val="Arial"/>
      <family val="2"/>
    </font>
    <font>
      <b/>
      <sz val="16"/>
      <name val="Arial"/>
      <family val="2"/>
    </font>
    <font>
      <sz val="14"/>
      <color theme="0"/>
      <name val="Arial"/>
      <family val="2"/>
    </font>
    <font>
      <sz val="11"/>
      <color theme="0"/>
      <name val="Arial"/>
      <family val="2"/>
    </font>
    <font>
      <sz val="48"/>
      <color theme="0"/>
      <name val="Arial"/>
      <family val="2"/>
    </font>
    <font>
      <b/>
      <sz val="28"/>
      <color theme="0"/>
      <name val="Arial"/>
      <family val="2"/>
    </font>
    <font>
      <b/>
      <sz val="48"/>
      <color theme="0"/>
      <name val="Arial"/>
      <family val="2"/>
    </font>
    <font>
      <sz val="12"/>
      <color theme="0"/>
      <name val="Arial"/>
      <family val="2"/>
    </font>
  </fonts>
  <fills count="3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patternFill>
    </fill>
    <fill>
      <patternFill patternType="solid">
        <fgColor rgb="FFDBE5F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B4C6E7"/>
        <bgColor rgb="FF000000"/>
      </patternFill>
    </fill>
    <fill>
      <patternFill patternType="solid">
        <fgColor rgb="FFFFC000"/>
        <bgColor rgb="FF000000"/>
      </patternFill>
    </fill>
    <fill>
      <patternFill patternType="solid">
        <fgColor theme="7" tint="0.79998168889431442"/>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3"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7" tint="0.59999389629810485"/>
        <bgColor indexed="64"/>
      </patternFill>
    </fill>
    <fill>
      <patternFill patternType="solid">
        <fgColor rgb="FF92D050"/>
        <bgColor indexed="64"/>
      </patternFill>
    </fill>
    <fill>
      <patternFill patternType="solid">
        <fgColor rgb="FF99CCFF"/>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7">
    <xf numFmtId="0" fontId="0" fillId="0" borderId="0"/>
    <xf numFmtId="44" fontId="4" fillId="0" borderId="0" applyFont="0" applyFill="0" applyBorder="0" applyAlignment="0" applyProtection="0"/>
    <xf numFmtId="0" fontId="5" fillId="7" borderId="0" applyNumberFormat="0" applyBorder="0" applyAlignment="0" applyProtection="0"/>
    <xf numFmtId="0" fontId="7" fillId="8" borderId="0" applyNumberFormat="0" applyBorder="0" applyProtection="0">
      <alignment horizontal="center" vertical="center"/>
    </xf>
    <xf numFmtId="37" fontId="8" fillId="0" borderId="0"/>
    <xf numFmtId="0" fontId="10" fillId="0" borderId="0" applyNumberFormat="0" applyFill="0" applyBorder="0" applyAlignment="0" applyProtection="0"/>
    <xf numFmtId="0" fontId="4" fillId="0" borderId="0"/>
    <xf numFmtId="49" fontId="18" fillId="0" borderId="0" applyFill="0" applyBorder="0" applyProtection="0">
      <alignment horizontal="left" vertical="center"/>
    </xf>
    <xf numFmtId="42" fontId="4" fillId="0" borderId="0" applyFont="0" applyFill="0" applyBorder="0" applyAlignment="0" applyProtection="0"/>
    <xf numFmtId="41" fontId="4" fillId="0" borderId="0" applyFont="0" applyFill="0" applyBorder="0" applyAlignment="0" applyProtection="0"/>
    <xf numFmtId="43" fontId="31"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1"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0" fontId="31" fillId="0" borderId="0"/>
  </cellStyleXfs>
  <cellXfs count="439">
    <xf numFmtId="0" fontId="0" fillId="0" borderId="0" xfId="0"/>
    <xf numFmtId="0" fontId="9"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5" applyFill="1" applyBorder="1" applyAlignment="1">
      <alignment horizontal="center" vertical="center" wrapText="1"/>
    </xf>
    <xf numFmtId="0" fontId="6" fillId="9" borderId="1" xfId="0" applyFont="1" applyFill="1" applyBorder="1" applyAlignment="1">
      <alignment horizontal="center" vertical="center" wrapText="1"/>
    </xf>
    <xf numFmtId="0" fontId="17" fillId="0" borderId="0" xfId="0" applyFont="1" applyFill="1" applyBorder="1"/>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xf numFmtId="0" fontId="17" fillId="0" borderId="1"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44" fontId="9" fillId="0" borderId="1" xfId="1" applyFont="1" applyFill="1" applyBorder="1" applyAlignment="1">
      <alignment horizontal="center" vertical="center" wrapText="1"/>
    </xf>
    <xf numFmtId="44" fontId="1" fillId="0" borderId="0" xfId="1" applyFont="1" applyFill="1" applyBorder="1" applyAlignment="1">
      <alignment horizontal="center" vertical="center"/>
    </xf>
    <xf numFmtId="0" fontId="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0" fillId="5" borderId="1" xfId="5" applyFill="1" applyBorder="1" applyAlignment="1">
      <alignment horizontal="center" vertical="center" wrapText="1"/>
    </xf>
    <xf numFmtId="0" fontId="9"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0" fillId="0" borderId="1" xfId="5" applyFill="1" applyBorder="1" applyAlignment="1">
      <alignment horizontal="center" vertical="center"/>
    </xf>
    <xf numFmtId="0" fontId="9" fillId="0" borderId="1" xfId="0" applyFont="1" applyBorder="1" applyAlignment="1">
      <alignment horizontal="center" vertical="center" wrapText="1"/>
    </xf>
    <xf numFmtId="0" fontId="6" fillId="1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0" borderId="0" xfId="0" applyFont="1" applyFill="1" applyBorder="1"/>
    <xf numFmtId="0" fontId="6"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16"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0" borderId="0" xfId="0" applyAlignment="1">
      <alignment wrapText="1"/>
    </xf>
    <xf numFmtId="0" fontId="23" fillId="18" borderId="1" xfId="0" applyFont="1" applyFill="1" applyBorder="1" applyAlignment="1">
      <alignment horizontal="center" vertical="center" wrapText="1"/>
    </xf>
    <xf numFmtId="44" fontId="23" fillId="18"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4" fillId="19" borderId="4"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44" fontId="6" fillId="19" borderId="1" xfId="1" applyFont="1" applyFill="1" applyBorder="1" applyAlignment="1">
      <alignment horizontal="center" vertical="center" wrapText="1"/>
    </xf>
    <xf numFmtId="44" fontId="26" fillId="0" borderId="1" xfId="0" applyNumberFormat="1" applyFont="1" applyBorder="1"/>
    <xf numFmtId="0" fontId="0" fillId="20" borderId="0" xfId="0" applyFill="1" applyAlignment="1">
      <alignment wrapText="1"/>
    </xf>
    <xf numFmtId="44" fontId="0" fillId="20" borderId="0" xfId="0" applyNumberFormat="1" applyFill="1" applyAlignment="1">
      <alignment wrapText="1"/>
    </xf>
    <xf numFmtId="0" fontId="21" fillId="9"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16" borderId="1" xfId="0" applyFont="1" applyFill="1" applyBorder="1" applyAlignment="1">
      <alignment horizontal="center" vertical="center" wrapText="1"/>
    </xf>
    <xf numFmtId="0" fontId="21" fillId="0" borderId="0" xfId="0" applyFont="1" applyFill="1" applyBorder="1" applyAlignment="1">
      <alignment horizontal="center" vertical="center"/>
    </xf>
    <xf numFmtId="0" fontId="21" fillId="16" borderId="0" xfId="0" applyFont="1" applyFill="1" applyBorder="1" applyAlignment="1">
      <alignment horizontal="center" vertical="center"/>
    </xf>
    <xf numFmtId="0" fontId="27" fillId="0" borderId="0" xfId="0" applyFont="1" applyFill="1" applyBorder="1" applyAlignment="1">
      <alignment vertical="center"/>
    </xf>
    <xf numFmtId="0" fontId="21" fillId="17"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2" borderId="1"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9" fillId="23" borderId="4"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0" fillId="0" borderId="1" xfId="0" applyBorder="1" applyAlignment="1">
      <alignment horizontal="center" vertical="center" wrapText="1"/>
    </xf>
    <xf numFmtId="44" fontId="6" fillId="16" borderId="1" xfId="1" applyNumberFormat="1" applyFont="1" applyFill="1" applyBorder="1" applyAlignment="1">
      <alignment horizontal="center" vertical="center"/>
    </xf>
    <xf numFmtId="2" fontId="0" fillId="16" borderId="1" xfId="0" applyNumberFormat="1" applyFont="1" applyFill="1" applyBorder="1" applyAlignment="1">
      <alignment horizontal="center" vertical="center"/>
    </xf>
    <xf numFmtId="44" fontId="0" fillId="16" borderId="1" xfId="0" applyNumberFormat="1" applyFill="1" applyBorder="1" applyAlignment="1">
      <alignment vertical="center"/>
    </xf>
    <xf numFmtId="44" fontId="6" fillId="16" borderId="1" xfId="1" applyFont="1" applyFill="1" applyBorder="1" applyAlignment="1">
      <alignment horizontal="center" vertical="center"/>
    </xf>
    <xf numFmtId="44" fontId="0" fillId="16" borderId="1" xfId="1" applyFont="1" applyFill="1" applyBorder="1" applyAlignment="1">
      <alignment horizontal="center" vertical="center"/>
    </xf>
    <xf numFmtId="44" fontId="0" fillId="16" borderId="1" xfId="0" applyNumberFormat="1" applyFill="1" applyBorder="1" applyAlignment="1">
      <alignment horizontal="center" vertical="center"/>
    </xf>
    <xf numFmtId="44"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44" fontId="6" fillId="5"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1" xfId="0" applyNumberFormat="1" applyFill="1" applyBorder="1" applyAlignment="1">
      <alignment horizontal="center" vertical="center"/>
    </xf>
    <xf numFmtId="0" fontId="6" fillId="15" borderId="1" xfId="0" applyFont="1" applyFill="1" applyBorder="1" applyAlignment="1">
      <alignment horizontal="center" vertical="center"/>
    </xf>
    <xf numFmtId="0" fontId="6" fillId="17" borderId="1" xfId="0" applyFont="1" applyFill="1" applyBorder="1" applyAlignment="1">
      <alignment horizontal="center" vertical="center" wrapText="1"/>
    </xf>
    <xf numFmtId="0" fontId="6" fillId="17" borderId="1" xfId="0" applyFont="1" applyFill="1" applyBorder="1" applyAlignment="1">
      <alignment horizontal="center" vertical="center"/>
    </xf>
    <xf numFmtId="0" fontId="6" fillId="16" borderId="5" xfId="0" applyFont="1" applyFill="1" applyBorder="1" applyAlignment="1">
      <alignment horizontal="center" vertical="center" wrapText="1"/>
    </xf>
    <xf numFmtId="0" fontId="10" fillId="16" borderId="1" xfId="5" applyFill="1" applyBorder="1" applyAlignment="1">
      <alignment horizontal="center" vertical="center" wrapText="1"/>
    </xf>
    <xf numFmtId="0" fontId="17" fillId="17" borderId="1" xfId="0" applyFont="1" applyFill="1" applyBorder="1" applyAlignment="1">
      <alignment horizontal="center" vertical="center"/>
    </xf>
    <xf numFmtId="0" fontId="6" fillId="17" borderId="5"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0" fillId="17" borderId="1" xfId="5" applyFill="1" applyBorder="1" applyAlignment="1">
      <alignment horizontal="center" vertical="center" wrapText="1"/>
    </xf>
    <xf numFmtId="0" fontId="17" fillId="13" borderId="4" xfId="0" applyFont="1" applyFill="1" applyBorder="1" applyAlignment="1">
      <alignment horizontal="center" vertical="center" wrapText="1"/>
    </xf>
    <xf numFmtId="0" fontId="6" fillId="9" borderId="1" xfId="0" applyFont="1" applyFill="1" applyBorder="1" applyAlignment="1">
      <alignment horizontal="center" vertical="center"/>
    </xf>
    <xf numFmtId="0" fontId="10" fillId="9" borderId="1" xfId="5" applyFill="1" applyBorder="1" applyAlignment="1">
      <alignment horizontal="center" vertical="center" wrapText="1"/>
    </xf>
    <xf numFmtId="0" fontId="6" fillId="9"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6" fillId="9" borderId="1" xfId="6" applyNumberFormat="1" applyFont="1" applyFill="1" applyBorder="1" applyAlignment="1">
      <alignment horizontal="center" vertical="center" wrapText="1"/>
    </xf>
    <xf numFmtId="0" fontId="9" fillId="9" borderId="1" xfId="0" applyFont="1" applyFill="1" applyBorder="1" applyAlignment="1">
      <alignment horizontal="center" vertical="center"/>
    </xf>
    <xf numFmtId="0" fontId="6" fillId="5" borderId="1" xfId="6" applyNumberFormat="1" applyFont="1" applyFill="1" applyBorder="1" applyAlignment="1">
      <alignment horizontal="center" vertical="center" wrapText="1"/>
    </xf>
    <xf numFmtId="0" fontId="6" fillId="2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17" fillId="24" borderId="1" xfId="0" applyFont="1" applyFill="1" applyBorder="1" applyAlignment="1">
      <alignment horizontal="center" vertical="center" wrapText="1"/>
    </xf>
    <xf numFmtId="0" fontId="10" fillId="24" borderId="1" xfId="5" applyFill="1" applyBorder="1" applyAlignment="1">
      <alignment horizontal="center" vertical="center" wrapText="1"/>
    </xf>
    <xf numFmtId="0" fontId="17" fillId="5" borderId="2" xfId="0" applyFont="1" applyFill="1" applyBorder="1" applyAlignment="1">
      <alignment horizontal="center" vertical="center"/>
    </xf>
    <xf numFmtId="0" fontId="6" fillId="17" borderId="1" xfId="6"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1" xfId="6" applyNumberFormat="1" applyFont="1" applyFill="1" applyBorder="1" applyAlignment="1">
      <alignment horizontal="center" vertical="center" wrapText="1"/>
    </xf>
    <xf numFmtId="0" fontId="17" fillId="15" borderId="0" xfId="0" applyFont="1" applyFill="1" applyBorder="1" applyAlignment="1">
      <alignment horizontal="center" vertical="center"/>
    </xf>
    <xf numFmtId="0" fontId="17" fillId="25" borderId="1" xfId="0" applyFont="1" applyFill="1" applyBorder="1" applyAlignment="1">
      <alignment horizontal="center" vertical="center" wrapText="1"/>
    </xf>
    <xf numFmtId="0" fontId="26" fillId="0" borderId="1" xfId="0" applyFont="1" applyBorder="1" applyAlignment="1">
      <alignment horizontal="center" vertical="center" wrapText="1"/>
    </xf>
    <xf numFmtId="44" fontId="26" fillId="0" borderId="1" xfId="1" applyFont="1" applyBorder="1" applyAlignment="1">
      <alignment horizontal="center" vertical="center" wrapText="1"/>
    </xf>
    <xf numFmtId="44" fontId="26" fillId="0" borderId="1" xfId="1" applyFont="1" applyBorder="1" applyAlignment="1">
      <alignment horizontal="center" vertical="center"/>
    </xf>
    <xf numFmtId="0" fontId="26" fillId="21" borderId="1" xfId="0" applyFont="1" applyFill="1" applyBorder="1" applyAlignment="1">
      <alignment horizontal="center" vertical="center" wrapText="1"/>
    </xf>
    <xf numFmtId="44" fontId="3" fillId="21" borderId="1" xfId="1" applyFont="1" applyFill="1" applyBorder="1" applyAlignment="1">
      <alignment horizontal="center" vertical="center" wrapText="1"/>
    </xf>
    <xf numFmtId="44" fontId="3" fillId="21" borderId="1" xfId="1" applyFont="1" applyFill="1" applyBorder="1" applyAlignment="1">
      <alignment horizontal="center" vertical="center"/>
    </xf>
    <xf numFmtId="0" fontId="3" fillId="21"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0" fillId="16" borderId="1" xfId="0" applyFill="1" applyBorder="1" applyAlignment="1">
      <alignment horizontal="center" wrapText="1"/>
    </xf>
    <xf numFmtId="0" fontId="0" fillId="5" borderId="1" xfId="0" applyFill="1" applyBorder="1" applyAlignment="1">
      <alignment wrapText="1"/>
    </xf>
    <xf numFmtId="0" fontId="26" fillId="15" borderId="1" xfId="0" applyFont="1" applyFill="1" applyBorder="1" applyAlignment="1">
      <alignment horizontal="center" vertical="center" wrapText="1"/>
    </xf>
    <xf numFmtId="44" fontId="26" fillId="15" borderId="1" xfId="1" applyFont="1" applyFill="1" applyBorder="1" applyAlignment="1">
      <alignment horizontal="center" vertical="center" wrapText="1"/>
    </xf>
    <xf numFmtId="44" fontId="26" fillId="15" borderId="1" xfId="1" applyFont="1" applyFill="1" applyBorder="1" applyAlignment="1">
      <alignment horizontal="center" vertical="center"/>
    </xf>
    <xf numFmtId="44" fontId="0" fillId="0" borderId="0" xfId="1" applyFont="1"/>
    <xf numFmtId="9" fontId="0" fillId="15" borderId="0" xfId="0" applyNumberFormat="1" applyFill="1" applyAlignment="1">
      <alignment horizontal="center" vertical="center"/>
    </xf>
    <xf numFmtId="44" fontId="0" fillId="0" borderId="1" xfId="0" applyNumberFormat="1" applyBorder="1"/>
    <xf numFmtId="0" fontId="3" fillId="21" borderId="0" xfId="0" applyFont="1" applyFill="1" applyAlignment="1">
      <alignment horizontal="center" vertical="center" wrapText="1"/>
    </xf>
    <xf numFmtId="42" fontId="3" fillId="21" borderId="0" xfId="0" applyNumberFormat="1" applyFont="1" applyFill="1" applyAlignment="1">
      <alignment horizontal="center" vertical="center" wrapText="1"/>
    </xf>
    <xf numFmtId="44" fontId="3" fillId="21" borderId="0" xfId="0" applyNumberFormat="1" applyFont="1" applyFill="1" applyAlignment="1">
      <alignment horizontal="center" vertical="center" wrapText="1"/>
    </xf>
    <xf numFmtId="0" fontId="6" fillId="10" borderId="5"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20" fillId="10" borderId="1" xfId="5" applyFont="1" applyFill="1" applyBorder="1" applyAlignment="1">
      <alignment horizontal="center" vertical="center" wrapText="1"/>
    </xf>
    <xf numFmtId="0" fontId="17" fillId="26" borderId="1" xfId="0" applyFont="1" applyFill="1" applyBorder="1" applyAlignment="1">
      <alignment horizontal="center" vertical="center" wrapText="1"/>
    </xf>
    <xf numFmtId="0" fontId="9" fillId="26" borderId="1" xfId="0" applyFont="1" applyFill="1" applyBorder="1" applyAlignment="1">
      <alignment horizontal="center" vertical="center" wrapText="1"/>
    </xf>
    <xf numFmtId="44" fontId="6" fillId="9" borderId="1" xfId="1" applyFont="1" applyFill="1" applyBorder="1" applyAlignment="1">
      <alignment horizontal="center" vertical="center" wrapText="1"/>
    </xf>
    <xf numFmtId="0" fontId="17" fillId="27" borderId="1" xfId="0" applyFont="1" applyFill="1" applyBorder="1" applyAlignment="1">
      <alignment horizontal="center" vertical="center" wrapText="1"/>
    </xf>
    <xf numFmtId="0" fontId="9" fillId="17" borderId="2" xfId="3" applyFont="1" applyFill="1" applyBorder="1" applyAlignment="1" applyProtection="1">
      <alignment horizontal="center" vertical="center" wrapText="1"/>
    </xf>
    <xf numFmtId="44" fontId="21" fillId="17" borderId="1" xfId="1" applyFont="1" applyFill="1" applyBorder="1" applyAlignment="1">
      <alignment horizontal="center" vertical="center"/>
    </xf>
    <xf numFmtId="44" fontId="17" fillId="0" borderId="0" xfId="1" applyFont="1" applyFill="1" applyBorder="1" applyAlignment="1">
      <alignment horizontal="center" vertical="center"/>
    </xf>
    <xf numFmtId="44" fontId="17" fillId="5" borderId="1" xfId="1" applyFont="1" applyFill="1" applyBorder="1" applyAlignment="1">
      <alignment horizontal="center" vertical="center"/>
    </xf>
    <xf numFmtId="44" fontId="6" fillId="5" borderId="1" xfId="1" applyFont="1" applyFill="1" applyBorder="1" applyAlignment="1">
      <alignment horizontal="center" vertical="center" wrapText="1"/>
    </xf>
    <xf numFmtId="44" fontId="17" fillId="17" borderId="1" xfId="1" applyFont="1" applyFill="1" applyBorder="1" applyAlignment="1">
      <alignment horizontal="center" vertical="center"/>
    </xf>
    <xf numFmtId="44" fontId="17" fillId="0" borderId="1" xfId="1" applyFont="1" applyFill="1" applyBorder="1" applyAlignment="1">
      <alignment horizontal="center" vertical="center"/>
    </xf>
    <xf numFmtId="44" fontId="17" fillId="5" borderId="2" xfId="1" applyFont="1" applyFill="1" applyBorder="1" applyAlignment="1">
      <alignment horizontal="center" vertical="center"/>
    </xf>
    <xf numFmtId="44" fontId="6" fillId="0" borderId="1" xfId="1" applyFont="1" applyFill="1" applyBorder="1" applyAlignment="1">
      <alignment horizontal="center" vertical="center"/>
    </xf>
    <xf numFmtId="44" fontId="6" fillId="15" borderId="1" xfId="1" applyFont="1" applyFill="1" applyBorder="1" applyAlignment="1">
      <alignment horizontal="center" vertical="center"/>
    </xf>
    <xf numFmtId="44" fontId="9" fillId="15" borderId="1" xfId="1" applyFont="1" applyFill="1" applyBorder="1" applyAlignment="1">
      <alignment horizontal="center" vertical="center" wrapText="1"/>
    </xf>
    <xf numFmtId="44" fontId="6" fillId="15" borderId="1" xfId="1" applyFont="1" applyFill="1" applyBorder="1" applyAlignment="1">
      <alignment horizontal="center" vertical="center" wrapText="1"/>
    </xf>
    <xf numFmtId="44" fontId="17" fillId="0" borderId="1" xfId="1" applyFont="1" applyFill="1" applyBorder="1" applyAlignment="1">
      <alignment horizontal="center" vertical="center" wrapText="1"/>
    </xf>
    <xf numFmtId="44" fontId="9" fillId="17" borderId="2" xfId="1" applyFont="1" applyFill="1" applyBorder="1" applyAlignment="1" applyProtection="1">
      <alignment horizontal="center" vertical="center" wrapText="1"/>
    </xf>
    <xf numFmtId="44" fontId="6" fillId="0" borderId="1" xfId="1" applyFont="1" applyFill="1" applyBorder="1" applyAlignment="1">
      <alignment horizontal="center" vertical="center" wrapText="1"/>
    </xf>
    <xf numFmtId="44" fontId="6" fillId="17" borderId="1" xfId="1" applyFont="1" applyFill="1" applyBorder="1" applyAlignment="1">
      <alignment horizontal="center" vertical="center" wrapText="1"/>
    </xf>
    <xf numFmtId="44" fontId="6" fillId="24"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44" fontId="6" fillId="10" borderId="1" xfId="1" applyFont="1" applyFill="1" applyBorder="1" applyAlignment="1">
      <alignment horizontal="center" vertical="center" wrapText="1"/>
    </xf>
    <xf numFmtId="0" fontId="9" fillId="16"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28" fillId="0" borderId="3" xfId="6" applyNumberFormat="1" applyFont="1" applyBorder="1" applyAlignment="1">
      <alignment horizontal="center" vertical="center" wrapText="1"/>
    </xf>
    <xf numFmtId="0" fontId="17"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17" fillId="23" borderId="8"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5"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0" fillId="6" borderId="1" xfId="5" applyFill="1" applyBorder="1" applyAlignment="1">
      <alignment horizontal="center" vertical="center" wrapText="1"/>
    </xf>
    <xf numFmtId="0" fontId="6" fillId="6" borderId="1" xfId="6" applyNumberFormat="1" applyFont="1" applyFill="1" applyBorder="1" applyAlignment="1">
      <alignment horizontal="center" vertical="center" wrapText="1"/>
    </xf>
    <xf numFmtId="44" fontId="6" fillId="6" borderId="1" xfId="1" applyFont="1" applyFill="1" applyBorder="1" applyAlignment="1">
      <alignment horizontal="center" vertical="center" wrapText="1"/>
    </xf>
    <xf numFmtId="0" fontId="27" fillId="0" borderId="0" xfId="0" applyFont="1" applyFill="1" applyBorder="1" applyAlignment="1">
      <alignment horizontal="center" vertical="center" wrapText="1"/>
    </xf>
    <xf numFmtId="44" fontId="29" fillId="0" borderId="0" xfId="1" applyFont="1" applyFill="1" applyBorder="1" applyAlignment="1">
      <alignment vertical="center" wrapText="1"/>
    </xf>
    <xf numFmtId="44" fontId="17" fillId="0" borderId="0" xfId="0" applyNumberFormat="1" applyFont="1" applyFill="1" applyBorder="1" applyAlignment="1">
      <alignment vertical="center" wrapText="1"/>
    </xf>
    <xf numFmtId="0" fontId="27" fillId="0" borderId="0" xfId="0" applyFont="1" applyFill="1" applyBorder="1" applyAlignment="1">
      <alignment vertical="center" wrapText="1"/>
    </xf>
    <xf numFmtId="44" fontId="27" fillId="0" borderId="0" xfId="0" applyNumberFormat="1" applyFont="1" applyFill="1" applyBorder="1" applyAlignment="1">
      <alignment vertical="center"/>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7" fillId="14" borderId="1" xfId="0" applyFont="1" applyFill="1" applyBorder="1" applyAlignment="1">
      <alignment horizontal="center" vertical="center"/>
    </xf>
    <xf numFmtId="44" fontId="17" fillId="14" borderId="1" xfId="1" applyFont="1" applyFill="1" applyBorder="1" applyAlignment="1">
      <alignment horizontal="center" vertical="center"/>
    </xf>
    <xf numFmtId="44" fontId="9" fillId="14" borderId="1" xfId="1" applyFont="1" applyFill="1" applyBorder="1" applyAlignment="1">
      <alignment horizontal="center" vertical="center"/>
    </xf>
    <xf numFmtId="44" fontId="6" fillId="14" borderId="1" xfId="1" applyFont="1" applyFill="1" applyBorder="1" applyAlignment="1">
      <alignment horizontal="center" vertical="center" wrapText="1"/>
    </xf>
    <xf numFmtId="0" fontId="6" fillId="14" borderId="1" xfId="0" applyFont="1" applyFill="1" applyBorder="1" applyAlignment="1">
      <alignment horizontal="center" vertical="center" wrapText="1"/>
    </xf>
    <xf numFmtId="44" fontId="9" fillId="14" borderId="1" xfId="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1" fillId="0" borderId="0" xfId="0" applyFont="1" applyFill="1" applyBorder="1" applyAlignment="1">
      <alignment vertical="center"/>
    </xf>
    <xf numFmtId="0" fontId="17" fillId="30" borderId="1" xfId="0" applyFont="1" applyFill="1" applyBorder="1" applyAlignment="1">
      <alignment horizontal="center" vertical="center"/>
    </xf>
    <xf numFmtId="44" fontId="6" fillId="30" borderId="1" xfId="1" applyFont="1" applyFill="1" applyBorder="1" applyAlignment="1">
      <alignment horizontal="center" vertical="center" wrapText="1"/>
    </xf>
    <xf numFmtId="44" fontId="16" fillId="0" borderId="0" xfId="1" applyFont="1" applyFill="1" applyBorder="1"/>
    <xf numFmtId="44" fontId="16" fillId="0" borderId="0" xfId="0" applyNumberFormat="1" applyFont="1" applyFill="1" applyBorder="1"/>
    <xf numFmtId="0" fontId="9" fillId="30" borderId="1" xfId="0" applyFont="1" applyFill="1" applyBorder="1" applyAlignment="1">
      <alignment horizontal="center" vertical="center" wrapText="1"/>
    </xf>
    <xf numFmtId="0" fontId="6" fillId="30" borderId="1" xfId="1" applyNumberFormat="1" applyFont="1" applyFill="1" applyBorder="1" applyAlignment="1">
      <alignment horizontal="center" vertical="center"/>
    </xf>
    <xf numFmtId="41" fontId="17" fillId="30" borderId="1" xfId="9" applyFont="1" applyFill="1" applyBorder="1" applyAlignment="1">
      <alignment horizontal="center" vertical="center"/>
    </xf>
    <xf numFmtId="1" fontId="6" fillId="30" borderId="1" xfId="1" applyNumberFormat="1" applyFont="1" applyFill="1" applyBorder="1" applyAlignment="1">
      <alignment horizontal="center" vertical="center"/>
    </xf>
    <xf numFmtId="41" fontId="6" fillId="30" borderId="1" xfId="9" applyFont="1" applyFill="1" applyBorder="1" applyAlignment="1">
      <alignment horizontal="center" vertical="center" wrapText="1"/>
    </xf>
    <xf numFmtId="0" fontId="6" fillId="3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4" fontId="32" fillId="0" borderId="1" xfId="1" applyFont="1" applyFill="1" applyBorder="1" applyAlignment="1">
      <alignment vertical="center" wrapText="1"/>
    </xf>
    <xf numFmtId="44" fontId="21" fillId="0" borderId="1" xfId="0" applyNumberFormat="1" applyFont="1" applyFill="1" applyBorder="1" applyAlignment="1">
      <alignment vertical="center" wrapText="1"/>
    </xf>
    <xf numFmtId="44" fontId="21" fillId="0" borderId="1" xfId="0" applyNumberFormat="1" applyFont="1" applyFill="1" applyBorder="1" applyAlignment="1">
      <alignment vertical="center"/>
    </xf>
    <xf numFmtId="0" fontId="21" fillId="0" borderId="1" xfId="0" applyFont="1" applyFill="1" applyBorder="1" applyAlignment="1">
      <alignment vertical="center" wrapText="1"/>
    </xf>
    <xf numFmtId="44" fontId="17" fillId="30" borderId="5" xfId="0" applyNumberFormat="1" applyFont="1" applyFill="1" applyBorder="1" applyAlignment="1">
      <alignment horizontal="center" vertical="center"/>
    </xf>
    <xf numFmtId="166" fontId="17" fillId="30" borderId="1" xfId="9" applyNumberFormat="1" applyFont="1" applyFill="1" applyBorder="1" applyAlignment="1">
      <alignment horizontal="center" vertical="center"/>
    </xf>
    <xf numFmtId="166" fontId="17" fillId="30" borderId="5" xfId="9" applyNumberFormat="1" applyFont="1" applyFill="1" applyBorder="1" applyAlignment="1">
      <alignment horizontal="center" vertical="center"/>
    </xf>
    <xf numFmtId="41" fontId="17" fillId="30" borderId="5" xfId="9" applyFont="1" applyFill="1" applyBorder="1" applyAlignment="1">
      <alignment horizontal="center" vertical="center"/>
    </xf>
    <xf numFmtId="0" fontId="33" fillId="30" borderId="1" xfId="0" applyFont="1" applyFill="1" applyBorder="1" applyAlignment="1">
      <alignment horizontal="center" vertical="center" wrapText="1"/>
    </xf>
    <xf numFmtId="41" fontId="16" fillId="30" borderId="1" xfId="9" applyFont="1" applyFill="1" applyBorder="1" applyAlignment="1">
      <alignment horizontal="center" vertical="center"/>
    </xf>
    <xf numFmtId="44" fontId="16" fillId="30" borderId="5" xfId="0" applyNumberFormat="1" applyFont="1" applyFill="1" applyBorder="1" applyAlignment="1">
      <alignment horizontal="center" vertical="center"/>
    </xf>
    <xf numFmtId="0" fontId="9" fillId="30" borderId="1" xfId="0" applyFont="1" applyFill="1" applyBorder="1" applyAlignment="1">
      <alignment horizontal="center" vertical="center"/>
    </xf>
    <xf numFmtId="44" fontId="9" fillId="30" borderId="5" xfId="0" applyNumberFormat="1" applyFont="1" applyFill="1" applyBorder="1" applyAlignment="1">
      <alignment horizontal="center" vertical="center"/>
    </xf>
    <xf numFmtId="0" fontId="16" fillId="30" borderId="1" xfId="0" applyFont="1" applyFill="1" applyBorder="1" applyAlignment="1">
      <alignment horizontal="center" vertical="center"/>
    </xf>
    <xf numFmtId="41" fontId="34" fillId="30" borderId="1" xfId="9" applyFont="1" applyFill="1" applyBorder="1" applyAlignment="1">
      <alignment horizontal="center" vertical="center" wrapText="1"/>
    </xf>
    <xf numFmtId="166" fontId="21" fillId="30" borderId="1" xfId="9" applyNumberFormat="1" applyFont="1" applyFill="1" applyBorder="1" applyAlignment="1">
      <alignment horizontal="center" vertical="center"/>
    </xf>
    <xf numFmtId="44" fontId="21" fillId="30" borderId="5" xfId="0" applyNumberFormat="1" applyFont="1" applyFill="1" applyBorder="1" applyAlignment="1">
      <alignment horizontal="center" vertical="center"/>
    </xf>
    <xf numFmtId="0" fontId="17" fillId="30" borderId="1" xfId="0" applyFont="1" applyFill="1" applyBorder="1" applyAlignment="1">
      <alignment horizontal="center" vertical="center" wrapText="1"/>
    </xf>
    <xf numFmtId="166" fontId="6" fillId="30" borderId="1" xfId="9" applyNumberFormat="1" applyFont="1" applyFill="1" applyBorder="1" applyAlignment="1">
      <alignment horizontal="center" vertical="center" wrapText="1"/>
    </xf>
    <xf numFmtId="44" fontId="17" fillId="32" borderId="5" xfId="0" applyNumberFormat="1" applyFont="1" applyFill="1" applyBorder="1" applyAlignment="1">
      <alignment horizontal="center" vertical="center"/>
    </xf>
    <xf numFmtId="0" fontId="17" fillId="32" borderId="1" xfId="0" applyFont="1" applyFill="1" applyBorder="1" applyAlignment="1">
      <alignment horizontal="center" vertical="center"/>
    </xf>
    <xf numFmtId="41" fontId="17" fillId="32" borderId="1" xfId="9" applyFont="1" applyFill="1" applyBorder="1" applyAlignment="1">
      <alignment horizontal="center" vertical="center"/>
    </xf>
    <xf numFmtId="0" fontId="9" fillId="32" borderId="1" xfId="0" applyFont="1" applyFill="1" applyBorder="1" applyAlignment="1">
      <alignment horizontal="center" vertical="center" wrapText="1"/>
    </xf>
    <xf numFmtId="0" fontId="6" fillId="32" borderId="1" xfId="0" applyFont="1" applyFill="1" applyBorder="1" applyAlignment="1">
      <alignment horizontal="center" vertical="center"/>
    </xf>
    <xf numFmtId="44" fontId="19" fillId="32" borderId="1" xfId="1" applyFont="1" applyFill="1" applyBorder="1" applyAlignment="1">
      <alignment horizontal="center" vertical="center"/>
    </xf>
    <xf numFmtId="41" fontId="6" fillId="32" borderId="1" xfId="9" applyFont="1" applyFill="1" applyBorder="1" applyAlignment="1">
      <alignment horizontal="center" vertical="center" wrapText="1"/>
    </xf>
    <xf numFmtId="44" fontId="6" fillId="32" borderId="1" xfId="1" applyFont="1" applyFill="1" applyBorder="1" applyAlignment="1">
      <alignment horizontal="center" vertical="center" wrapText="1"/>
    </xf>
    <xf numFmtId="0" fontId="1" fillId="0" borderId="0" xfId="0" applyFont="1" applyFill="1" applyBorder="1"/>
    <xf numFmtId="44" fontId="1" fillId="0" borderId="0" xfId="0" applyNumberFormat="1" applyFont="1" applyFill="1" applyBorder="1"/>
    <xf numFmtId="0" fontId="1" fillId="0" borderId="0" xfId="0" applyFont="1" applyFill="1" applyBorder="1" applyAlignment="1">
      <alignment vertical="center"/>
    </xf>
    <xf numFmtId="44" fontId="9" fillId="32" borderId="5" xfId="0" applyNumberFormat="1" applyFont="1" applyFill="1" applyBorder="1" applyAlignment="1">
      <alignment horizontal="center" vertical="center"/>
    </xf>
    <xf numFmtId="1" fontId="9" fillId="31" borderId="10" xfId="0" applyNumberFormat="1" applyFont="1" applyFill="1" applyBorder="1" applyAlignment="1">
      <alignment horizontal="center" vertical="center" wrapText="1"/>
    </xf>
    <xf numFmtId="14" fontId="9" fillId="31" borderId="10" xfId="0" applyNumberFormat="1" applyFont="1" applyFill="1" applyBorder="1" applyAlignment="1">
      <alignment horizontal="center" vertical="center" wrapText="1"/>
    </xf>
    <xf numFmtId="166" fontId="9" fillId="31" borderId="10" xfId="9" applyNumberFormat="1" applyFont="1" applyFill="1" applyBorder="1" applyAlignment="1">
      <alignment horizontal="center" vertical="center" wrapText="1"/>
    </xf>
    <xf numFmtId="44" fontId="9" fillId="31" borderId="5" xfId="0" applyNumberFormat="1" applyFont="1" applyFill="1" applyBorder="1" applyAlignment="1">
      <alignment horizontal="center" vertical="center"/>
    </xf>
    <xf numFmtId="0" fontId="9" fillId="31" borderId="1" xfId="0" applyFont="1" applyFill="1" applyBorder="1" applyAlignment="1">
      <alignment horizontal="center" vertical="center"/>
    </xf>
    <xf numFmtId="49" fontId="9" fillId="31" borderId="10" xfId="0" applyNumberFormat="1" applyFont="1" applyFill="1" applyBorder="1" applyAlignment="1">
      <alignment horizontal="center" vertical="center" wrapText="1"/>
    </xf>
    <xf numFmtId="0" fontId="9" fillId="32" borderId="1" xfId="0" applyFont="1" applyFill="1" applyBorder="1" applyAlignment="1">
      <alignment horizontal="center" vertical="center"/>
    </xf>
    <xf numFmtId="14" fontId="9" fillId="31" borderId="1" xfId="0" applyNumberFormat="1" applyFont="1" applyFill="1" applyBorder="1" applyAlignment="1">
      <alignment horizontal="center" vertical="center"/>
    </xf>
    <xf numFmtId="0" fontId="9" fillId="31" borderId="1" xfId="0" applyFont="1" applyFill="1" applyBorder="1" applyAlignment="1">
      <alignment horizontal="center" vertical="center" wrapText="1"/>
    </xf>
    <xf numFmtId="166" fontId="9" fillId="31" borderId="1" xfId="9" applyNumberFormat="1" applyFont="1" applyFill="1" applyBorder="1" applyAlignment="1">
      <alignment horizontal="center" vertical="center"/>
    </xf>
    <xf numFmtId="41" fontId="9" fillId="31" borderId="1" xfId="9" applyFont="1" applyFill="1" applyBorder="1" applyAlignment="1">
      <alignment horizontal="center" vertical="center"/>
    </xf>
    <xf numFmtId="44" fontId="9" fillId="31" borderId="1" xfId="1" applyFont="1" applyFill="1" applyBorder="1" applyAlignment="1">
      <alignment horizontal="center" vertical="center" wrapText="1"/>
    </xf>
    <xf numFmtId="44" fontId="9" fillId="31" borderId="5" xfId="0" applyNumberFormat="1" applyFont="1" applyFill="1" applyBorder="1" applyAlignment="1">
      <alignment horizontal="center" vertical="center" wrapText="1"/>
    </xf>
    <xf numFmtId="49" fontId="9" fillId="31"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1" fontId="9" fillId="31" borderId="1" xfId="9" applyFont="1" applyFill="1" applyBorder="1" applyAlignment="1">
      <alignment horizontal="center" vertical="center" wrapText="1"/>
    </xf>
    <xf numFmtId="166" fontId="9" fillId="31" borderId="1" xfId="9" applyNumberFormat="1" applyFont="1" applyFill="1" applyBorder="1" applyAlignment="1">
      <alignment horizontal="center" vertical="center" wrapText="1"/>
    </xf>
    <xf numFmtId="166" fontId="9" fillId="32" borderId="1" xfId="9" applyNumberFormat="1" applyFont="1" applyFill="1" applyBorder="1" applyAlignment="1">
      <alignment horizontal="center" vertical="center" wrapText="1"/>
    </xf>
    <xf numFmtId="14" fontId="9" fillId="31" borderId="1" xfId="0" applyNumberFormat="1" applyFont="1" applyFill="1" applyBorder="1" applyAlignment="1">
      <alignment horizontal="center" vertical="center" wrapText="1"/>
    </xf>
    <xf numFmtId="1" fontId="9" fillId="31" borderId="1" xfId="9" applyNumberFormat="1" applyFont="1" applyFill="1" applyBorder="1" applyAlignment="1">
      <alignment horizontal="center" vertical="center"/>
    </xf>
    <xf numFmtId="44" fontId="9" fillId="31" borderId="1" xfId="0" applyNumberFormat="1" applyFont="1" applyFill="1" applyBorder="1" applyAlignment="1">
      <alignment horizontal="center" vertical="center"/>
    </xf>
    <xf numFmtId="14" fontId="9" fillId="31" borderId="1" xfId="8" applyNumberFormat="1" applyFont="1" applyFill="1" applyBorder="1" applyAlignment="1">
      <alignment horizontal="center" vertical="center" wrapText="1"/>
    </xf>
    <xf numFmtId="0" fontId="9" fillId="0" borderId="0" xfId="0" applyFont="1" applyFill="1" applyBorder="1"/>
    <xf numFmtId="44" fontId="9" fillId="0" borderId="0" xfId="0" applyNumberFormat="1" applyFont="1" applyFill="1" applyBorder="1"/>
    <xf numFmtId="0" fontId="9" fillId="0" borderId="0" xfId="0" applyFont="1" applyFill="1" applyBorder="1" applyAlignment="1">
      <alignment wrapText="1"/>
    </xf>
    <xf numFmtId="44" fontId="17" fillId="17" borderId="1" xfId="1"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7" fillId="0" borderId="6" xfId="0" applyFont="1" applyFill="1" applyBorder="1" applyAlignment="1">
      <alignment horizontal="center" vertical="center"/>
    </xf>
    <xf numFmtId="44" fontId="17" fillId="0" borderId="6" xfId="1"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5" applyFill="1" applyBorder="1" applyAlignment="1">
      <alignment horizontal="center" vertical="center" wrapText="1"/>
    </xf>
    <xf numFmtId="44" fontId="6" fillId="0" borderId="6" xfId="1" applyFont="1" applyFill="1" applyBorder="1" applyAlignment="1">
      <alignment horizontal="center" vertical="center" wrapText="1"/>
    </xf>
    <xf numFmtId="0" fontId="6" fillId="9" borderId="6" xfId="0" applyFont="1" applyFill="1" applyBorder="1" applyAlignment="1">
      <alignment horizontal="center" vertical="center" wrapText="1"/>
    </xf>
    <xf numFmtId="0" fontId="28" fillId="0" borderId="3" xfId="6" applyNumberFormat="1" applyFont="1" applyFill="1" applyBorder="1" applyAlignment="1">
      <alignment horizontal="center" vertical="center" wrapText="1"/>
    </xf>
    <xf numFmtId="0" fontId="28" fillId="0" borderId="1" xfId="6" applyNumberFormat="1" applyFont="1" applyFill="1" applyBorder="1" applyAlignment="1">
      <alignment horizontal="center" vertical="center" wrapText="1"/>
    </xf>
    <xf numFmtId="0" fontId="28" fillId="0" borderId="9" xfId="6" applyNumberFormat="1" applyFont="1" applyFill="1" applyBorder="1" applyAlignment="1">
      <alignment horizontal="center" vertical="center" wrapText="1"/>
    </xf>
    <xf numFmtId="0" fontId="17" fillId="30" borderId="6" xfId="0" applyFont="1" applyFill="1" applyBorder="1" applyAlignment="1">
      <alignment horizontal="center" vertical="center"/>
    </xf>
    <xf numFmtId="41" fontId="17" fillId="30" borderId="6" xfId="9" applyFont="1" applyFill="1" applyBorder="1" applyAlignment="1">
      <alignment horizontal="center" vertical="center"/>
    </xf>
    <xf numFmtId="44" fontId="17" fillId="30" borderId="6" xfId="9" applyNumberFormat="1" applyFont="1" applyFill="1" applyBorder="1" applyAlignment="1">
      <alignment horizontal="center" vertical="center"/>
    </xf>
    <xf numFmtId="166" fontId="21" fillId="31" borderId="1" xfId="9" applyNumberFormat="1" applyFont="1" applyFill="1" applyBorder="1" applyAlignment="1">
      <alignment horizontal="center" vertical="center"/>
    </xf>
    <xf numFmtId="0" fontId="17" fillId="31" borderId="6" xfId="0" applyFont="1" applyFill="1" applyBorder="1" applyAlignment="1">
      <alignment horizontal="center" vertical="center"/>
    </xf>
    <xf numFmtId="44" fontId="9" fillId="31" borderId="6" xfId="9" applyNumberFormat="1" applyFont="1" applyFill="1" applyBorder="1" applyAlignment="1">
      <alignment horizontal="center" vertical="center"/>
    </xf>
    <xf numFmtId="0" fontId="9" fillId="31" borderId="6" xfId="0" applyFont="1" applyFill="1" applyBorder="1" applyAlignment="1">
      <alignment horizontal="center" vertical="center"/>
    </xf>
    <xf numFmtId="0" fontId="17" fillId="32" borderId="12" xfId="0" applyFont="1" applyFill="1" applyBorder="1"/>
    <xf numFmtId="0" fontId="17" fillId="32" borderId="12" xfId="0" applyFont="1" applyFill="1" applyBorder="1" applyAlignment="1">
      <alignment horizontal="center" vertical="center"/>
    </xf>
    <xf numFmtId="44" fontId="17" fillId="9" borderId="1" xfId="1" applyFont="1" applyFill="1" applyBorder="1" applyAlignment="1">
      <alignment horizontal="center" vertical="center" wrapText="1"/>
    </xf>
    <xf numFmtId="0" fontId="21" fillId="30" borderId="1" xfId="0" applyFont="1" applyFill="1" applyBorder="1" applyAlignment="1">
      <alignment horizontal="center" vertical="center" wrapText="1"/>
    </xf>
    <xf numFmtId="44" fontId="17" fillId="16" borderId="1" xfId="1" applyFont="1" applyFill="1" applyBorder="1" applyAlignment="1">
      <alignment horizontal="center" vertical="center" wrapText="1"/>
    </xf>
    <xf numFmtId="166" fontId="1" fillId="0" borderId="0" xfId="9" applyNumberFormat="1" applyFont="1" applyFill="1" applyBorder="1"/>
    <xf numFmtId="166" fontId="9" fillId="32" borderId="1" xfId="9" applyNumberFormat="1" applyFont="1" applyFill="1" applyBorder="1" applyAlignment="1">
      <alignment horizontal="center" vertical="center"/>
    </xf>
    <xf numFmtId="166" fontId="9" fillId="31" borderId="5" xfId="9" applyNumberFormat="1" applyFont="1" applyFill="1" applyBorder="1" applyAlignment="1">
      <alignment horizontal="center" vertical="center"/>
    </xf>
    <xf numFmtId="166" fontId="9" fillId="0" borderId="0" xfId="9" applyNumberFormat="1" applyFont="1" applyFill="1" applyBorder="1"/>
    <xf numFmtId="0" fontId="2" fillId="0"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7" fillId="14" borderId="5" xfId="0" applyFont="1" applyFill="1" applyBorder="1" applyAlignment="1">
      <alignment horizontal="center" vertical="center"/>
    </xf>
    <xf numFmtId="44" fontId="17" fillId="14" borderId="5" xfId="1" applyFont="1" applyFill="1" applyBorder="1" applyAlignment="1">
      <alignment horizontal="center" vertical="center"/>
    </xf>
    <xf numFmtId="0" fontId="17" fillId="5" borderId="5" xfId="0" applyFont="1" applyFill="1" applyBorder="1" applyAlignment="1">
      <alignment horizontal="center" vertical="center" wrapText="1"/>
    </xf>
    <xf numFmtId="0" fontId="10" fillId="5" borderId="5" xfId="5" applyFill="1" applyBorder="1" applyAlignment="1">
      <alignment horizontal="center" vertical="center" wrapText="1"/>
    </xf>
    <xf numFmtId="44" fontId="6" fillId="5" borderId="5" xfId="1" applyFont="1" applyFill="1" applyBorder="1" applyAlignment="1">
      <alignment horizontal="center" vertical="center" wrapText="1"/>
    </xf>
    <xf numFmtId="0" fontId="17" fillId="30" borderId="5" xfId="0" applyFont="1" applyFill="1" applyBorder="1" applyAlignment="1">
      <alignment horizontal="center" vertical="center"/>
    </xf>
    <xf numFmtId="1" fontId="9" fillId="31" borderId="14" xfId="0" applyNumberFormat="1" applyFont="1" applyFill="1" applyBorder="1" applyAlignment="1">
      <alignment horizontal="center" vertical="center" wrapText="1"/>
    </xf>
    <xf numFmtId="14" fontId="9" fillId="31" borderId="14" xfId="0" applyNumberFormat="1" applyFont="1" applyFill="1" applyBorder="1" applyAlignment="1">
      <alignment horizontal="center" vertical="center" wrapText="1"/>
    </xf>
    <xf numFmtId="49" fontId="9" fillId="31" borderId="14" xfId="0" applyNumberFormat="1"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3" applyFont="1" applyFill="1" applyBorder="1" applyAlignment="1" applyProtection="1">
      <alignment horizontal="center" vertical="center" wrapText="1"/>
    </xf>
    <xf numFmtId="44" fontId="15" fillId="13" borderId="1" xfId="1" applyFont="1" applyFill="1" applyBorder="1" applyAlignment="1" applyProtection="1">
      <alignment horizontal="center" vertical="center" wrapText="1"/>
    </xf>
    <xf numFmtId="164" fontId="15" fillId="11" borderId="1" xfId="2" applyNumberFormat="1" applyFont="1" applyFill="1" applyBorder="1" applyAlignment="1">
      <alignment horizontal="center" vertical="center" wrapText="1"/>
    </xf>
    <xf numFmtId="44" fontId="15" fillId="12" borderId="1" xfId="1" applyFont="1" applyFill="1" applyBorder="1" applyAlignment="1" applyProtection="1">
      <alignment horizontal="center" vertical="center" wrapText="1"/>
      <protection locked="0"/>
    </xf>
    <xf numFmtId="0" fontId="1" fillId="6" borderId="1" xfId="0" applyFont="1" applyFill="1" applyBorder="1" applyAlignment="1">
      <alignment horizontal="center" vertical="center" wrapText="1"/>
    </xf>
    <xf numFmtId="166" fontId="1" fillId="6" borderId="1" xfId="9" applyNumberFormat="1" applyFont="1" applyFill="1" applyBorder="1" applyAlignment="1">
      <alignment horizontal="center" vertical="center" wrapText="1"/>
    </xf>
    <xf numFmtId="44" fontId="1" fillId="6" borderId="1" xfId="0" applyNumberFormat="1" applyFont="1" applyFill="1" applyBorder="1" applyAlignment="1">
      <alignment horizontal="center" vertical="center" wrapText="1"/>
    </xf>
    <xf numFmtId="0" fontId="1" fillId="28"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23" borderId="1" xfId="0" applyFont="1" applyFill="1" applyBorder="1" applyAlignment="1">
      <alignment horizontal="center" vertical="center" wrapText="1"/>
    </xf>
    <xf numFmtId="44" fontId="17" fillId="30" borderId="1" xfId="0" applyNumberFormat="1" applyFont="1" applyFill="1" applyBorder="1" applyAlignment="1">
      <alignment horizontal="center" vertical="center"/>
    </xf>
    <xf numFmtId="1" fontId="9" fillId="31" borderId="1" xfId="0" applyNumberFormat="1" applyFont="1" applyFill="1" applyBorder="1" applyAlignment="1">
      <alignment horizontal="center" vertical="center" wrapText="1"/>
    </xf>
    <xf numFmtId="49" fontId="9" fillId="31"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44" fontId="1" fillId="0" borderId="1" xfId="0" applyNumberFormat="1" applyFont="1" applyFill="1" applyBorder="1" applyAlignment="1">
      <alignment vertical="center" wrapText="1"/>
    </xf>
    <xf numFmtId="0" fontId="1" fillId="17" borderId="1" xfId="0" applyFont="1" applyFill="1" applyBorder="1" applyAlignment="1">
      <alignment horizontal="center" vertical="center"/>
    </xf>
    <xf numFmtId="44" fontId="1" fillId="0" borderId="1" xfId="0" applyNumberFormat="1" applyFont="1" applyFill="1" applyBorder="1" applyAlignment="1">
      <alignment vertical="center"/>
    </xf>
    <xf numFmtId="0" fontId="1"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44" fontId="1" fillId="2" borderId="1" xfId="0" applyNumberFormat="1" applyFont="1" applyFill="1" applyBorder="1" applyAlignment="1">
      <alignment horizontal="center" vertical="center" wrapText="1"/>
    </xf>
    <xf numFmtId="44" fontId="9" fillId="30" borderId="1" xfId="1" applyFont="1" applyFill="1" applyBorder="1" applyAlignment="1">
      <alignment horizontal="center" vertical="center" wrapText="1"/>
    </xf>
    <xf numFmtId="166" fontId="9" fillId="30" borderId="1" xfId="9" applyNumberFormat="1" applyFont="1" applyFill="1" applyBorder="1" applyAlignment="1">
      <alignment horizontal="center" vertical="center"/>
    </xf>
    <xf numFmtId="41" fontId="9" fillId="30" borderId="1" xfId="9" applyFont="1" applyFill="1" applyBorder="1" applyAlignment="1">
      <alignment horizontal="center" vertical="center"/>
    </xf>
    <xf numFmtId="0" fontId="9" fillId="0" borderId="0" xfId="0" applyFont="1" applyFill="1" applyBorder="1" applyAlignment="1">
      <alignment horizontal="center" vertical="center"/>
    </xf>
    <xf numFmtId="44" fontId="9" fillId="0" borderId="0" xfId="0" applyNumberFormat="1" applyFont="1" applyFill="1" applyBorder="1" applyAlignment="1">
      <alignment vertical="center"/>
    </xf>
    <xf numFmtId="0" fontId="1" fillId="4"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7" fillId="32" borderId="1" xfId="0" applyFont="1" applyFill="1" applyBorder="1" applyAlignment="1">
      <alignment horizontal="center" vertical="center" wrapText="1"/>
    </xf>
    <xf numFmtId="14" fontId="9" fillId="31" borderId="1" xfId="9" applyNumberFormat="1" applyFont="1" applyFill="1" applyBorder="1" applyAlignment="1">
      <alignment horizontal="center" vertical="center"/>
    </xf>
    <xf numFmtId="166" fontId="17" fillId="31" borderId="1" xfId="9" applyNumberFormat="1" applyFont="1" applyFill="1" applyBorder="1" applyAlignment="1">
      <alignment horizontal="center" vertical="center"/>
    </xf>
    <xf numFmtId="44" fontId="9" fillId="31" borderId="1" xfId="9" applyNumberFormat="1" applyFont="1" applyFill="1" applyBorder="1" applyAlignment="1">
      <alignment horizontal="center" vertical="center"/>
    </xf>
    <xf numFmtId="44" fontId="17" fillId="30" borderId="1" xfId="9" applyNumberFormat="1" applyFont="1" applyFill="1" applyBorder="1" applyAlignment="1">
      <alignment horizontal="center" vertical="center"/>
    </xf>
    <xf numFmtId="44" fontId="17" fillId="5" borderId="1" xfId="1" applyFont="1" applyFill="1" applyBorder="1" applyAlignment="1">
      <alignment horizontal="center" vertical="center" wrapText="1"/>
    </xf>
    <xf numFmtId="0" fontId="6" fillId="30" borderId="1" xfId="0" applyFont="1" applyFill="1" applyBorder="1" applyAlignment="1">
      <alignment horizontal="center" vertical="center"/>
    </xf>
    <xf numFmtId="0" fontId="20" fillId="16" borderId="1" xfId="5" applyFont="1" applyFill="1" applyBorder="1" applyAlignment="1">
      <alignment horizontal="center" vertical="center" wrapText="1"/>
    </xf>
    <xf numFmtId="166" fontId="17" fillId="32" borderId="12" xfId="9" applyNumberFormat="1" applyFont="1" applyFill="1" applyBorder="1" applyAlignment="1">
      <alignment horizontal="center" vertical="center"/>
    </xf>
    <xf numFmtId="14" fontId="9" fillId="31" borderId="0" xfId="0" applyNumberFormat="1" applyFont="1" applyFill="1" applyAlignment="1">
      <alignment horizontal="center" vertical="center" wrapText="1"/>
    </xf>
    <xf numFmtId="0" fontId="17" fillId="0" borderId="0" xfId="0" applyFont="1" applyFill="1" applyBorder="1" applyAlignment="1">
      <alignment vertical="center"/>
    </xf>
    <xf numFmtId="0" fontId="9" fillId="0" borderId="0" xfId="0" applyFont="1" applyFill="1" applyBorder="1" applyAlignment="1">
      <alignment vertical="center"/>
    </xf>
    <xf numFmtId="41" fontId="9" fillId="0" borderId="0" xfId="0" applyNumberFormat="1" applyFont="1" applyFill="1" applyBorder="1" applyAlignment="1">
      <alignment vertical="center"/>
    </xf>
    <xf numFmtId="166" fontId="9" fillId="32" borderId="12" xfId="9" applyNumberFormat="1" applyFont="1" applyFill="1" applyBorder="1" applyAlignment="1">
      <alignment horizontal="center" vertical="center"/>
    </xf>
    <xf numFmtId="166" fontId="17" fillId="31" borderId="5" xfId="9" applyNumberFormat="1" applyFont="1" applyFill="1" applyBorder="1" applyAlignment="1">
      <alignment horizontal="center" vertical="center"/>
    </xf>
    <xf numFmtId="166" fontId="9" fillId="31" borderId="5" xfId="0" applyNumberFormat="1" applyFont="1" applyFill="1" applyBorder="1" applyAlignment="1">
      <alignment horizontal="center" vertical="center"/>
    </xf>
    <xf numFmtId="166" fontId="9" fillId="32" borderId="5" xfId="0" applyNumberFormat="1" applyFont="1" applyFill="1" applyBorder="1" applyAlignment="1">
      <alignment horizontal="center" vertical="center"/>
    </xf>
    <xf numFmtId="166" fontId="9" fillId="31" borderId="1" xfId="1" applyNumberFormat="1" applyFont="1" applyFill="1" applyBorder="1" applyAlignment="1">
      <alignment horizontal="center" vertical="center" wrapText="1"/>
    </xf>
    <xf numFmtId="166" fontId="9" fillId="32" borderId="1" xfId="0" applyNumberFormat="1" applyFont="1" applyFill="1" applyBorder="1" applyAlignment="1">
      <alignment horizontal="center" vertical="center"/>
    </xf>
    <xf numFmtId="166" fontId="9" fillId="31" borderId="1" xfId="0" applyNumberFormat="1" applyFont="1" applyFill="1" applyBorder="1" applyAlignment="1">
      <alignment horizontal="center" vertical="center"/>
    </xf>
    <xf numFmtId="14" fontId="9" fillId="31" borderId="6" xfId="9" applyNumberFormat="1" applyFont="1" applyFill="1" applyBorder="1" applyAlignment="1">
      <alignment horizontal="center" vertical="center" wrapText="1"/>
    </xf>
    <xf numFmtId="41" fontId="9" fillId="32" borderId="1" xfId="9" applyFont="1" applyFill="1" applyBorder="1" applyAlignment="1">
      <alignment horizontal="center" vertical="center"/>
    </xf>
    <xf numFmtId="41" fontId="9" fillId="30" borderId="1" xfId="9" applyFont="1" applyFill="1" applyBorder="1" applyAlignment="1">
      <alignment horizontal="center" vertical="center" wrapText="1"/>
    </xf>
    <xf numFmtId="41" fontId="9" fillId="32" borderId="1" xfId="9" applyFont="1" applyFill="1" applyBorder="1" applyAlignment="1">
      <alignment horizontal="center" vertical="center" wrapText="1"/>
    </xf>
    <xf numFmtId="166" fontId="36" fillId="0" borderId="0" xfId="9" applyNumberFormat="1" applyFont="1" applyFill="1" applyBorder="1" applyAlignment="1">
      <alignment vertical="center"/>
    </xf>
    <xf numFmtId="43" fontId="17" fillId="32" borderId="12" xfId="15" applyFont="1" applyFill="1" applyBorder="1"/>
    <xf numFmtId="44" fontId="17" fillId="6" borderId="1" xfId="1" applyFont="1" applyFill="1" applyBorder="1" applyAlignment="1">
      <alignment horizontal="center" vertical="center" wrapText="1"/>
    </xf>
    <xf numFmtId="44" fontId="9" fillId="5" borderId="1" xfId="1" applyFont="1" applyFill="1" applyBorder="1" applyAlignment="1">
      <alignment horizontal="center" vertical="center" wrapText="1"/>
    </xf>
    <xf numFmtId="44" fontId="17" fillId="24" borderId="1" xfId="1" applyFont="1" applyFill="1" applyBorder="1" applyAlignment="1">
      <alignment horizontal="center" vertical="center" wrapText="1"/>
    </xf>
    <xf numFmtId="6" fontId="17" fillId="5" borderId="1" xfId="0" applyNumberFormat="1" applyFont="1" applyFill="1" applyBorder="1" applyAlignment="1">
      <alignment horizontal="center" vertical="center" wrapText="1"/>
    </xf>
    <xf numFmtId="44" fontId="17" fillId="34" borderId="1" xfId="1" applyFont="1" applyFill="1" applyBorder="1" applyAlignment="1">
      <alignment horizontal="center" vertical="center" wrapText="1"/>
    </xf>
    <xf numFmtId="0" fontId="21" fillId="32" borderId="1" xfId="0" applyFont="1" applyFill="1" applyBorder="1" applyAlignment="1">
      <alignment horizontal="center" vertical="center" wrapText="1"/>
    </xf>
    <xf numFmtId="166" fontId="21" fillId="32" borderId="1" xfId="9" applyNumberFormat="1" applyFont="1" applyFill="1" applyBorder="1" applyAlignment="1">
      <alignment horizontal="center" vertical="center"/>
    </xf>
    <xf numFmtId="44" fontId="21" fillId="32" borderId="5" xfId="0" applyNumberFormat="1" applyFont="1" applyFill="1" applyBorder="1" applyAlignment="1">
      <alignment horizontal="center" vertical="center"/>
    </xf>
    <xf numFmtId="166" fontId="17" fillId="32" borderId="1" xfId="9" applyNumberFormat="1" applyFont="1" applyFill="1" applyBorder="1" applyAlignment="1">
      <alignment horizontal="center" vertical="center"/>
    </xf>
    <xf numFmtId="14" fontId="9" fillId="32" borderId="1" xfId="0" applyNumberFormat="1" applyFont="1" applyFill="1" applyBorder="1" applyAlignment="1">
      <alignment horizontal="center" vertical="center" wrapText="1"/>
    </xf>
    <xf numFmtId="166" fontId="1" fillId="32" borderId="12" xfId="9" applyNumberFormat="1" applyFont="1" applyFill="1" applyBorder="1" applyAlignment="1">
      <alignment horizontal="center" vertical="center"/>
    </xf>
    <xf numFmtId="166" fontId="1" fillId="32" borderId="1" xfId="9" applyNumberFormat="1" applyFont="1" applyFill="1" applyBorder="1" applyAlignment="1">
      <alignment horizontal="center" vertical="center"/>
    </xf>
    <xf numFmtId="41" fontId="9" fillId="33" borderId="5" xfId="9" applyFont="1" applyFill="1" applyBorder="1" applyAlignment="1">
      <alignment horizontal="center" vertical="center"/>
    </xf>
    <xf numFmtId="14" fontId="9" fillId="32" borderId="1" xfId="0" applyNumberFormat="1" applyFont="1" applyFill="1" applyBorder="1" applyAlignment="1">
      <alignment horizontal="center" vertical="center"/>
    </xf>
    <xf numFmtId="0" fontId="37" fillId="0" borderId="0" xfId="0" applyFont="1"/>
    <xf numFmtId="166" fontId="21" fillId="0" borderId="0" xfId="9" applyNumberFormat="1" applyFont="1" applyFill="1" applyBorder="1" applyAlignment="1">
      <alignment vertical="center"/>
    </xf>
    <xf numFmtId="166" fontId="9" fillId="33" borderId="12" xfId="9" applyNumberFormat="1" applyFont="1" applyFill="1" applyBorder="1" applyAlignment="1">
      <alignment vertical="center"/>
    </xf>
    <xf numFmtId="166" fontId="9" fillId="33" borderId="1" xfId="9" applyNumberFormat="1" applyFont="1" applyFill="1" applyBorder="1" applyAlignment="1">
      <alignment horizontal="center" vertical="center" wrapText="1"/>
    </xf>
    <xf numFmtId="166" fontId="9" fillId="33" borderId="12" xfId="9" applyNumberFormat="1" applyFont="1" applyFill="1" applyBorder="1" applyAlignment="1">
      <alignment horizontal="center" vertical="center"/>
    </xf>
    <xf numFmtId="166" fontId="17" fillId="32" borderId="12" xfId="0" applyNumberFormat="1" applyFont="1" applyFill="1" applyBorder="1"/>
    <xf numFmtId="166" fontId="9" fillId="33" borderId="5" xfId="9" applyNumberFormat="1" applyFont="1" applyFill="1" applyBorder="1" applyAlignment="1">
      <alignment horizontal="center" vertical="center"/>
    </xf>
    <xf numFmtId="166" fontId="9" fillId="33" borderId="11" xfId="9" applyNumberFormat="1" applyFont="1" applyFill="1" applyBorder="1" applyAlignment="1">
      <alignment horizontal="center" vertical="center"/>
    </xf>
    <xf numFmtId="166" fontId="17" fillId="32" borderId="12" xfId="0" applyNumberFormat="1" applyFont="1" applyFill="1" applyBorder="1" applyAlignment="1">
      <alignment horizontal="center" vertical="center"/>
    </xf>
    <xf numFmtId="166" fontId="9" fillId="33" borderId="13" xfId="9" applyNumberFormat="1" applyFont="1" applyFill="1" applyBorder="1" applyAlignment="1">
      <alignment horizontal="left" vertical="center"/>
    </xf>
    <xf numFmtId="166" fontId="17" fillId="0" borderId="0" xfId="9" applyNumberFormat="1" applyFont="1" applyFill="1" applyBorder="1" applyAlignment="1">
      <alignment vertical="center"/>
    </xf>
    <xf numFmtId="166" fontId="9" fillId="33" borderId="1" xfId="9" applyNumberFormat="1" applyFont="1" applyFill="1" applyBorder="1" applyAlignment="1">
      <alignment horizontal="center" vertical="center"/>
    </xf>
    <xf numFmtId="1" fontId="9" fillId="32" borderId="10" xfId="0" applyNumberFormat="1" applyFont="1" applyFill="1" applyBorder="1" applyAlignment="1">
      <alignment horizontal="center" vertical="center" wrapText="1"/>
    </xf>
    <xf numFmtId="14" fontId="9" fillId="32" borderId="10" xfId="0" applyNumberFormat="1" applyFont="1" applyFill="1" applyBorder="1" applyAlignment="1">
      <alignment horizontal="center" vertical="center" wrapText="1"/>
    </xf>
    <xf numFmtId="49" fontId="9" fillId="32" borderId="10" xfId="0" applyNumberFormat="1" applyFont="1" applyFill="1" applyBorder="1" applyAlignment="1">
      <alignment horizontal="center" vertical="center" wrapText="1"/>
    </xf>
    <xf numFmtId="44" fontId="6" fillId="31" borderId="1" xfId="1" applyFont="1" applyFill="1" applyBorder="1" applyAlignment="1">
      <alignment horizontal="center" vertical="center" wrapText="1"/>
    </xf>
    <xf numFmtId="166" fontId="1" fillId="33" borderId="12" xfId="9" applyNumberFormat="1" applyFont="1" applyFill="1" applyBorder="1" applyAlignment="1">
      <alignment horizontal="center" vertical="center"/>
    </xf>
    <xf numFmtId="166" fontId="1" fillId="33" borderId="1" xfId="9" applyNumberFormat="1" applyFont="1" applyFill="1" applyBorder="1" applyAlignment="1">
      <alignment horizontal="center" vertical="center"/>
    </xf>
    <xf numFmtId="166" fontId="9" fillId="33" borderId="13" xfId="9" applyNumberFormat="1" applyFont="1" applyFill="1" applyBorder="1" applyAlignment="1">
      <alignment horizontal="center" vertical="center" wrapText="1"/>
    </xf>
    <xf numFmtId="166" fontId="9" fillId="33" borderId="6" xfId="9" applyNumberFormat="1" applyFont="1" applyFill="1" applyBorder="1" applyAlignment="1">
      <alignment horizontal="center" vertical="center"/>
    </xf>
    <xf numFmtId="41" fontId="1" fillId="32" borderId="12" xfId="9" applyFont="1" applyFill="1" applyBorder="1" applyAlignment="1">
      <alignment horizontal="center" vertical="center"/>
    </xf>
    <xf numFmtId="41" fontId="9" fillId="32" borderId="12" xfId="9" applyFont="1" applyFill="1" applyBorder="1" applyAlignment="1">
      <alignment vertical="center"/>
    </xf>
    <xf numFmtId="15" fontId="9" fillId="31" borderId="1" xfId="0" applyNumberFormat="1" applyFont="1" applyFill="1" applyBorder="1" applyAlignment="1">
      <alignment horizontal="center" vertical="center"/>
    </xf>
    <xf numFmtId="0" fontId="17" fillId="32" borderId="1" xfId="0" quotePrefix="1" applyFont="1" applyFill="1" applyBorder="1" applyAlignment="1">
      <alignment horizontal="center" vertical="center" wrapText="1"/>
    </xf>
    <xf numFmtId="0" fontId="9" fillId="32" borderId="1" xfId="0" quotePrefix="1" applyFont="1" applyFill="1" applyBorder="1" applyAlignment="1">
      <alignment horizontal="center" vertical="center" wrapText="1"/>
    </xf>
    <xf numFmtId="1" fontId="9" fillId="31" borderId="10" xfId="0" quotePrefix="1" applyNumberFormat="1" applyFont="1" applyFill="1" applyBorder="1" applyAlignment="1">
      <alignment horizontal="center" vertical="center" wrapText="1"/>
    </xf>
    <xf numFmtId="0" fontId="17" fillId="0" borderId="1" xfId="0" applyFont="1" applyFill="1" applyBorder="1" applyAlignment="1">
      <alignment vertical="center"/>
    </xf>
    <xf numFmtId="0" fontId="21" fillId="32" borderId="1" xfId="0" quotePrefix="1" applyFont="1" applyFill="1" applyBorder="1" applyAlignment="1">
      <alignment horizontal="center" vertical="center" wrapText="1"/>
    </xf>
    <xf numFmtId="0" fontId="17" fillId="30" borderId="1" xfId="0" quotePrefix="1" applyFont="1" applyFill="1" applyBorder="1" applyAlignment="1">
      <alignment horizontal="center" vertical="center"/>
    </xf>
    <xf numFmtId="0" fontId="9" fillId="31" borderId="1" xfId="0" quotePrefix="1" applyFont="1" applyFill="1" applyBorder="1" applyAlignment="1">
      <alignment horizontal="center" vertical="center"/>
    </xf>
    <xf numFmtId="167" fontId="17" fillId="30" borderId="1" xfId="9" applyNumberFormat="1" applyFont="1" applyFill="1" applyBorder="1" applyAlignment="1">
      <alignment horizontal="right" vertical="center"/>
    </xf>
    <xf numFmtId="15" fontId="9" fillId="32" borderId="1" xfId="0" applyNumberFormat="1" applyFont="1" applyFill="1" applyBorder="1" applyAlignment="1">
      <alignment horizontal="center" vertical="center"/>
    </xf>
    <xf numFmtId="167" fontId="38" fillId="0" borderId="0" xfId="0" applyNumberFormat="1" applyFont="1" applyFill="1" applyBorder="1" applyAlignment="1">
      <alignment vertical="center"/>
    </xf>
    <xf numFmtId="43" fontId="17" fillId="0" borderId="0" xfId="0" applyNumberFormat="1" applyFont="1" applyFill="1" applyBorder="1"/>
    <xf numFmtId="0" fontId="9" fillId="31" borderId="1" xfId="0" applyFont="1" applyFill="1" applyBorder="1" applyAlignment="1">
      <alignment horizontal="justify" vertical="center"/>
    </xf>
    <xf numFmtId="167" fontId="15" fillId="0" borderId="0" xfId="0" applyNumberFormat="1" applyFont="1" applyFill="1" applyBorder="1"/>
    <xf numFmtId="44" fontId="17" fillId="0" borderId="1" xfId="0" applyNumberFormat="1" applyFont="1" applyFill="1" applyBorder="1" applyAlignment="1">
      <alignment horizontal="center" vertical="center"/>
    </xf>
    <xf numFmtId="0" fontId="9" fillId="32" borderId="1" xfId="0" applyFont="1" applyFill="1" applyBorder="1" applyAlignment="1">
      <alignment horizontal="justify" vertical="center"/>
    </xf>
    <xf numFmtId="44" fontId="6" fillId="35" borderId="1" xfId="1" applyFont="1" applyFill="1" applyBorder="1" applyAlignment="1">
      <alignment horizontal="center" vertical="center" wrapText="1"/>
    </xf>
    <xf numFmtId="44" fontId="17" fillId="35" borderId="1" xfId="1" applyFont="1" applyFill="1" applyBorder="1" applyAlignment="1">
      <alignment horizontal="center" vertical="center" wrapText="1"/>
    </xf>
    <xf numFmtId="167" fontId="9" fillId="0" borderId="0" xfId="0" applyNumberFormat="1" applyFont="1" applyFill="1" applyBorder="1" applyAlignment="1">
      <alignment wrapText="1"/>
    </xf>
    <xf numFmtId="0" fontId="30" fillId="0" borderId="0" xfId="0" applyFont="1" applyFill="1" applyBorder="1" applyAlignment="1">
      <alignment vertical="center"/>
    </xf>
    <xf numFmtId="0" fontId="35" fillId="0" borderId="0" xfId="0" applyFont="1" applyFill="1" applyBorder="1" applyAlignment="1">
      <alignment vertical="center"/>
    </xf>
    <xf numFmtId="0" fontId="17" fillId="36" borderId="0" xfId="0" applyFont="1" applyFill="1" applyBorder="1"/>
    <xf numFmtId="168" fontId="17" fillId="0" borderId="0" xfId="0" applyNumberFormat="1" applyFont="1" applyFill="1" applyBorder="1"/>
    <xf numFmtId="0" fontId="39" fillId="0" borderId="0" xfId="0" applyFont="1" applyFill="1" applyBorder="1" applyAlignment="1">
      <alignment vertical="center"/>
    </xf>
    <xf numFmtId="44" fontId="39" fillId="0" borderId="0" xfId="0" applyNumberFormat="1" applyFont="1" applyFill="1" applyBorder="1" applyAlignment="1">
      <alignment vertical="center"/>
    </xf>
    <xf numFmtId="44" fontId="39" fillId="0" borderId="0" xfId="1" applyFont="1" applyFill="1" applyBorder="1" applyAlignment="1">
      <alignment vertical="center"/>
    </xf>
    <xf numFmtId="166" fontId="39" fillId="0" borderId="0" xfId="9" applyNumberFormat="1" applyFont="1" applyFill="1" applyBorder="1" applyAlignment="1">
      <alignment vertical="center"/>
    </xf>
    <xf numFmtId="166" fontId="39" fillId="0" borderId="0" xfId="0" applyNumberFormat="1" applyFont="1" applyFill="1" applyBorder="1" applyAlignment="1">
      <alignment vertical="center"/>
    </xf>
    <xf numFmtId="44" fontId="40" fillId="0" borderId="0" xfId="0" applyNumberFormat="1" applyFont="1" applyFill="1" applyBorder="1" applyAlignment="1">
      <alignment vertical="center" wrapText="1"/>
    </xf>
    <xf numFmtId="0" fontId="40" fillId="0" borderId="0" xfId="0" applyFont="1" applyFill="1" applyBorder="1" applyAlignment="1">
      <alignment vertical="center" wrapText="1"/>
    </xf>
    <xf numFmtId="44" fontId="40" fillId="0" borderId="0" xfId="1" applyFont="1" applyFill="1" applyBorder="1" applyAlignment="1">
      <alignment vertical="center"/>
    </xf>
    <xf numFmtId="0" fontId="40" fillId="0" borderId="0" xfId="0" applyFont="1" applyFill="1" applyBorder="1" applyAlignment="1">
      <alignment vertical="center"/>
    </xf>
    <xf numFmtId="44" fontId="40" fillId="0" borderId="0" xfId="1" applyFont="1" applyFill="1" applyBorder="1" applyAlignment="1">
      <alignment horizontal="center" vertical="center"/>
    </xf>
    <xf numFmtId="44" fontId="40" fillId="0" borderId="0" xfId="0" applyNumberFormat="1" applyFont="1" applyFill="1" applyBorder="1" applyAlignment="1">
      <alignment vertical="center"/>
    </xf>
    <xf numFmtId="166" fontId="40" fillId="0" borderId="0" xfId="9" applyNumberFormat="1" applyFont="1" applyFill="1" applyBorder="1" applyAlignment="1">
      <alignment vertical="center"/>
    </xf>
    <xf numFmtId="0" fontId="41" fillId="0" borderId="0" xfId="0" applyFont="1" applyFill="1" applyBorder="1" applyAlignment="1">
      <alignment vertical="center"/>
    </xf>
    <xf numFmtId="168" fontId="42" fillId="0" borderId="1" xfId="0" applyNumberFormat="1"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xf numFmtId="0" fontId="1" fillId="0" borderId="1" xfId="0" applyFont="1" applyFill="1" applyBorder="1" applyAlignment="1">
      <alignment vertical="center" wrapText="1"/>
    </xf>
    <xf numFmtId="165" fontId="1" fillId="0" borderId="1" xfId="1" applyNumberFormat="1" applyFont="1" applyFill="1" applyBorder="1" applyAlignment="1">
      <alignment vertical="center"/>
    </xf>
    <xf numFmtId="44" fontId="1" fillId="0" borderId="1" xfId="0" applyNumberFormat="1" applyFont="1" applyFill="1" applyBorder="1" applyAlignment="1">
      <alignment horizontal="center" vertical="center"/>
    </xf>
    <xf numFmtId="44" fontId="1" fillId="0" borderId="1" xfId="1" applyFont="1" applyFill="1" applyBorder="1" applyAlignment="1">
      <alignment horizontal="center" vertical="center"/>
    </xf>
    <xf numFmtId="0" fontId="24" fillId="19" borderId="1" xfId="0" applyFont="1" applyFill="1" applyBorder="1" applyAlignment="1">
      <alignment horizontal="center" vertical="center" wrapText="1"/>
    </xf>
    <xf numFmtId="41" fontId="17" fillId="0" borderId="1" xfId="9" applyFont="1" applyFill="1" applyBorder="1" applyAlignment="1">
      <alignment horizontal="center" vertical="center"/>
    </xf>
    <xf numFmtId="44" fontId="17" fillId="0" borderId="5" xfId="0" applyNumberFormat="1" applyFont="1" applyFill="1" applyBorder="1" applyAlignment="1">
      <alignment horizontal="center" vertical="center"/>
    </xf>
    <xf numFmtId="44" fontId="9" fillId="0" borderId="5"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cellXfs>
  <cellStyles count="17">
    <cellStyle name="BodyStyle" xfId="7" xr:uid="{00000000-0005-0000-0000-000000000000}"/>
    <cellStyle name="Énfasis1" xfId="2" builtinId="29"/>
    <cellStyle name="HeaderStyle" xfId="3" xr:uid="{00000000-0005-0000-0000-000002000000}"/>
    <cellStyle name="Hipervínculo" xfId="5" builtinId="8"/>
    <cellStyle name="Millares" xfId="15" builtinId="3"/>
    <cellStyle name="Millares [0]" xfId="9" builtinId="6"/>
    <cellStyle name="Millares [0] 2" xfId="13" xr:uid="{00000000-0005-0000-0000-000006000000}"/>
    <cellStyle name="Millares 2" xfId="10" xr:uid="{00000000-0005-0000-0000-000007000000}"/>
    <cellStyle name="Millares 2 2" xfId="14" xr:uid="{00000000-0005-0000-0000-000008000000}"/>
    <cellStyle name="Moneda" xfId="1" builtinId="4"/>
    <cellStyle name="Moneda [0]" xfId="8" builtinId="7"/>
    <cellStyle name="Moneda [0] 2" xfId="12" xr:uid="{00000000-0005-0000-0000-00000B000000}"/>
    <cellStyle name="Moneda 2" xfId="11" xr:uid="{00000000-0005-0000-0000-00000C000000}"/>
    <cellStyle name="Normal" xfId="0" builtinId="0"/>
    <cellStyle name="Normal 2" xfId="16" xr:uid="{00000000-0005-0000-0000-00000E000000}"/>
    <cellStyle name="Normal 2 2 2 2 2" xfId="6" xr:uid="{00000000-0005-0000-0000-00000F000000}"/>
    <cellStyle name="Normal 3" xfId="4" xr:uid="{00000000-0005-0000-0000-000010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99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219528</xdr:colOff>
      <xdr:row>3</xdr:row>
      <xdr:rowOff>28122</xdr:rowOff>
    </xdr:from>
    <xdr:to>
      <xdr:col>0</xdr:col>
      <xdr:colOff>2790825</xdr:colOff>
      <xdr:row>3</xdr:row>
      <xdr:rowOff>581025</xdr:rowOff>
    </xdr:to>
    <xdr:pic>
      <xdr:nvPicPr>
        <xdr:cNvPr id="2" name="Imagen 1">
          <a:extLst>
            <a:ext uri="{FF2B5EF4-FFF2-40B4-BE49-F238E27FC236}">
              <a16:creationId xmlns:a16="http://schemas.microsoft.com/office/drawing/2014/main" id="{F3BB0717-A6CD-47F8-9636-065AD72A01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19528" y="3939722"/>
          <a:ext cx="2571297" cy="55290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ubdireccion@inci.gov.co" TargetMode="External"/><Relationship Id="rId21" Type="http://schemas.openxmlformats.org/officeDocument/2006/relationships/hyperlink" Target="mailto:secretariageneral@inci.gov.co" TargetMode="External"/><Relationship Id="rId42" Type="http://schemas.openxmlformats.org/officeDocument/2006/relationships/hyperlink" Target="mailto:direccioninci@inci.gov.co" TargetMode="External"/><Relationship Id="rId47" Type="http://schemas.openxmlformats.org/officeDocument/2006/relationships/hyperlink" Target="mailto:secretariageneral@inci.gov.co" TargetMode="External"/><Relationship Id="rId63" Type="http://schemas.openxmlformats.org/officeDocument/2006/relationships/hyperlink" Target="mailto:subdireccion@inci.gov.co" TargetMode="External"/><Relationship Id="rId68" Type="http://schemas.openxmlformats.org/officeDocument/2006/relationships/hyperlink" Target="mailto:subdireccion@inci.gov.co" TargetMode="External"/><Relationship Id="rId84" Type="http://schemas.openxmlformats.org/officeDocument/2006/relationships/drawing" Target="../drawings/drawing1.xml"/><Relationship Id="rId16" Type="http://schemas.openxmlformats.org/officeDocument/2006/relationships/hyperlink" Target="mailto:subdireccion@inci.gov.co" TargetMode="External"/><Relationship Id="rId11" Type="http://schemas.openxmlformats.org/officeDocument/2006/relationships/hyperlink" Target="mailto:planeacion@inci.gov.co" TargetMode="External"/><Relationship Id="rId32" Type="http://schemas.openxmlformats.org/officeDocument/2006/relationships/hyperlink" Target="mailto:subdireccion@inci.gov.co" TargetMode="External"/><Relationship Id="rId37" Type="http://schemas.openxmlformats.org/officeDocument/2006/relationships/hyperlink" Target="mailto:subdireccion@inci.gov.co" TargetMode="External"/><Relationship Id="rId53" Type="http://schemas.openxmlformats.org/officeDocument/2006/relationships/hyperlink" Target="mailto:controlinterno@inci.gov.co" TargetMode="External"/><Relationship Id="rId58" Type="http://schemas.openxmlformats.org/officeDocument/2006/relationships/hyperlink" Target="mailto:secretariageneral@inci.gov.co" TargetMode="External"/><Relationship Id="rId74" Type="http://schemas.openxmlformats.org/officeDocument/2006/relationships/hyperlink" Target="mailto:subdireccion@inci.gov.co" TargetMode="External"/><Relationship Id="rId79" Type="http://schemas.openxmlformats.org/officeDocument/2006/relationships/hyperlink" Target="mailto:subdireccion@inci.gov.co" TargetMode="External"/><Relationship Id="rId5" Type="http://schemas.openxmlformats.org/officeDocument/2006/relationships/hyperlink" Target="mailto:secretariageneral@inci.gov.co" TargetMode="External"/><Relationship Id="rId19" Type="http://schemas.openxmlformats.org/officeDocument/2006/relationships/hyperlink" Target="mailto:secretariageneral@inci.gov.co" TargetMode="External"/><Relationship Id="rId14" Type="http://schemas.openxmlformats.org/officeDocument/2006/relationships/hyperlink" Target="mailto:secretariageneral@inci.gov.co" TargetMode="External"/><Relationship Id="rId22" Type="http://schemas.openxmlformats.org/officeDocument/2006/relationships/hyperlink" Target="mailto:juridica@inci.gov.co" TargetMode="External"/><Relationship Id="rId27" Type="http://schemas.openxmlformats.org/officeDocument/2006/relationships/hyperlink" Target="mailto:subdireccion@inci.gov.co" TargetMode="External"/><Relationship Id="rId30" Type="http://schemas.openxmlformats.org/officeDocument/2006/relationships/hyperlink" Target="mailto:subdireccion@inci.gov.co" TargetMode="External"/><Relationship Id="rId35" Type="http://schemas.openxmlformats.org/officeDocument/2006/relationships/hyperlink" Target="mailto:subdirec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ubdireccion@inci.gov.co" TargetMode="External"/><Relationship Id="rId56" Type="http://schemas.openxmlformats.org/officeDocument/2006/relationships/hyperlink" Target="mailto:subdireccion@inci.gov.co" TargetMode="External"/><Relationship Id="rId64" Type="http://schemas.openxmlformats.org/officeDocument/2006/relationships/hyperlink" Target="mailto:juridica@inci.gov.co" TargetMode="External"/><Relationship Id="rId69" Type="http://schemas.openxmlformats.org/officeDocument/2006/relationships/hyperlink" Target="mailto:subdireccion@inci.gov.co" TargetMode="External"/><Relationship Id="rId77" Type="http://schemas.openxmlformats.org/officeDocument/2006/relationships/hyperlink" Target="mailto:subdireccion@inci.gov.co" TargetMode="External"/><Relationship Id="rId8" Type="http://schemas.openxmlformats.org/officeDocument/2006/relationships/hyperlink" Target="mailto:planeacion@inci.gov.co" TargetMode="External"/><Relationship Id="rId51" Type="http://schemas.openxmlformats.org/officeDocument/2006/relationships/hyperlink" Target="mailto:subdireccion@inci.gov.co" TargetMode="External"/><Relationship Id="rId72" Type="http://schemas.openxmlformats.org/officeDocument/2006/relationships/hyperlink" Target="mailto:direccioninci@inci.gov.co" TargetMode="External"/><Relationship Id="rId80" Type="http://schemas.openxmlformats.org/officeDocument/2006/relationships/hyperlink" Target="mailto:direccioninci@inci.gov.co" TargetMode="External"/><Relationship Id="rId85" Type="http://schemas.openxmlformats.org/officeDocument/2006/relationships/vmlDrawing" Target="../drawings/vmlDrawing1.vml"/><Relationship Id="rId3" Type="http://schemas.openxmlformats.org/officeDocument/2006/relationships/hyperlink" Target="mailto:secretariageneral@inci.gov.co" TargetMode="External"/><Relationship Id="rId12" Type="http://schemas.openxmlformats.org/officeDocument/2006/relationships/hyperlink" Target="mailto:desarrollohumano@inci.gov.co" TargetMode="External"/><Relationship Id="rId17" Type="http://schemas.openxmlformats.org/officeDocument/2006/relationships/hyperlink" Target="mailto:subdireccion@inci.gov.co" TargetMode="External"/><Relationship Id="rId25" Type="http://schemas.openxmlformats.org/officeDocument/2006/relationships/hyperlink" Target="mailto:subdireccion@inci.gov.co" TargetMode="External"/><Relationship Id="rId33" Type="http://schemas.openxmlformats.org/officeDocument/2006/relationships/hyperlink" Target="mailto:subdireccion@inci.gov.co" TargetMode="External"/><Relationship Id="rId38" Type="http://schemas.openxmlformats.org/officeDocument/2006/relationships/hyperlink" Target="mailto:subdirec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ecretariageneral@inci.gov.co" TargetMode="External"/><Relationship Id="rId67" Type="http://schemas.openxmlformats.org/officeDocument/2006/relationships/hyperlink" Target="mailto:subdireccion@inci.gov.co" TargetMode="External"/><Relationship Id="rId20" Type="http://schemas.openxmlformats.org/officeDocument/2006/relationships/hyperlink" Target="mailto:secretariageneral@inci.gov.co" TargetMode="External"/><Relationship Id="rId41" Type="http://schemas.openxmlformats.org/officeDocument/2006/relationships/hyperlink" Target="mailto:direccioninci@inci.gov.co" TargetMode="External"/><Relationship Id="rId54" Type="http://schemas.openxmlformats.org/officeDocument/2006/relationships/hyperlink" Target="mailto:subdireccion@inci.gov.co" TargetMode="External"/><Relationship Id="rId62" Type="http://schemas.openxmlformats.org/officeDocument/2006/relationships/hyperlink" Target="mailto:subdireccion@inci.gov.co" TargetMode="External"/><Relationship Id="rId70" Type="http://schemas.openxmlformats.org/officeDocument/2006/relationships/hyperlink" Target="mailto:subdireccion@inci.gov.co" TargetMode="External"/><Relationship Id="rId75" Type="http://schemas.openxmlformats.org/officeDocument/2006/relationships/hyperlink" Target="mailto:subdireccion@inci.gov.co" TargetMode="External"/><Relationship Id="rId83" Type="http://schemas.openxmlformats.org/officeDocument/2006/relationships/printerSettings" Target="../printerSettings/printerSettings1.bin"/><Relationship Id="rId1" Type="http://schemas.openxmlformats.org/officeDocument/2006/relationships/hyperlink" Target="mailto:secretariageneral@inci.gov.co" TargetMode="External"/><Relationship Id="rId6" Type="http://schemas.openxmlformats.org/officeDocument/2006/relationships/hyperlink" Target="mailto:juridica@inci.gov.co" TargetMode="External"/><Relationship Id="rId15" Type="http://schemas.openxmlformats.org/officeDocument/2006/relationships/hyperlink" Target="mailto:secretariageneral@inci.gov.co" TargetMode="External"/><Relationship Id="rId23" Type="http://schemas.openxmlformats.org/officeDocument/2006/relationships/hyperlink" Target="mailto:secretariageneral@inci.gov.co" TargetMode="External"/><Relationship Id="rId28" Type="http://schemas.openxmlformats.org/officeDocument/2006/relationships/hyperlink" Target="mailto:subdireccion@inci.gov.co" TargetMode="External"/><Relationship Id="rId36" Type="http://schemas.openxmlformats.org/officeDocument/2006/relationships/hyperlink" Target="mailto:subdireccion@inci.gov.co" TargetMode="External"/><Relationship Id="rId49" Type="http://schemas.openxmlformats.org/officeDocument/2006/relationships/hyperlink" Target="mailto:subdireccion@inci.gov.co" TargetMode="External"/><Relationship Id="rId57" Type="http://schemas.openxmlformats.org/officeDocument/2006/relationships/hyperlink" Target="mailto:secretariageneral@inci.gov.co" TargetMode="External"/><Relationship Id="rId10" Type="http://schemas.openxmlformats.org/officeDocument/2006/relationships/hyperlink" Target="mailto:planeacion@inci.gov.co" TargetMode="External"/><Relationship Id="rId31" Type="http://schemas.openxmlformats.org/officeDocument/2006/relationships/hyperlink" Target="mailto:subdirec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direccioninci@inci.gov.co" TargetMode="External"/><Relationship Id="rId65" Type="http://schemas.openxmlformats.org/officeDocument/2006/relationships/hyperlink" Target="mailto:direccioninci@inci.gov.co" TargetMode="External"/><Relationship Id="rId73" Type="http://schemas.openxmlformats.org/officeDocument/2006/relationships/hyperlink" Target="mailto:juridica@inci.gov.co" TargetMode="External"/><Relationship Id="rId78" Type="http://schemas.openxmlformats.org/officeDocument/2006/relationships/hyperlink" Target="mailto:subdireccion@inci.gov.co" TargetMode="External"/><Relationship Id="rId81" Type="http://schemas.openxmlformats.org/officeDocument/2006/relationships/hyperlink" Target="mailto:subdireccion@inci.gov.co" TargetMode="External"/><Relationship Id="rId86" Type="http://schemas.openxmlformats.org/officeDocument/2006/relationships/comments" Target="../comments1.xml"/><Relationship Id="rId4" Type="http://schemas.openxmlformats.org/officeDocument/2006/relationships/hyperlink" Target="mailto:secretariageneral@inci.gov.co" TargetMode="External"/><Relationship Id="rId9" Type="http://schemas.openxmlformats.org/officeDocument/2006/relationships/hyperlink" Target="mailto:planeacion@inci.gov.co" TargetMode="External"/><Relationship Id="rId13" Type="http://schemas.openxmlformats.org/officeDocument/2006/relationships/hyperlink" Target="mailto:desarrollohumano@inci.gov.co" TargetMode="External"/><Relationship Id="rId18" Type="http://schemas.openxmlformats.org/officeDocument/2006/relationships/hyperlink" Target="mailto:secretariageneral@inci.gov.co" TargetMode="External"/><Relationship Id="rId39" Type="http://schemas.openxmlformats.org/officeDocument/2006/relationships/hyperlink" Target="mailto:subdireccion@inci.gov.co" TargetMode="External"/><Relationship Id="rId34" Type="http://schemas.openxmlformats.org/officeDocument/2006/relationships/hyperlink" Target="mailto:subdireccion@inci.gov.co" TargetMode="External"/><Relationship Id="rId50" Type="http://schemas.openxmlformats.org/officeDocument/2006/relationships/hyperlink" Target="mailto:secretariageneral@inci.gov.co" TargetMode="External"/><Relationship Id="rId55" Type="http://schemas.openxmlformats.org/officeDocument/2006/relationships/hyperlink" Target="mailto:subdireccion@inci.gov.co" TargetMode="External"/><Relationship Id="rId76" Type="http://schemas.openxmlformats.org/officeDocument/2006/relationships/hyperlink" Target="mailto:subdireccion@inci.gov.co" TargetMode="External"/><Relationship Id="rId7" Type="http://schemas.openxmlformats.org/officeDocument/2006/relationships/hyperlink" Target="mailto:juridica@inci.gov.co" TargetMode="External"/><Relationship Id="rId71" Type="http://schemas.openxmlformats.org/officeDocument/2006/relationships/hyperlink" Target="mailto:subdireccion@inci.gov.co" TargetMode="External"/><Relationship Id="rId2" Type="http://schemas.openxmlformats.org/officeDocument/2006/relationships/hyperlink" Target="mailto:juridica@inci.gov.co" TargetMode="External"/><Relationship Id="rId29" Type="http://schemas.openxmlformats.org/officeDocument/2006/relationships/hyperlink" Target="mailto:subdireccion@inci.gov.co" TargetMode="External"/><Relationship Id="rId24" Type="http://schemas.openxmlformats.org/officeDocument/2006/relationships/hyperlink" Target="mailto:subdireccion@inci.gov.co" TargetMode="External"/><Relationship Id="rId40" Type="http://schemas.openxmlformats.org/officeDocument/2006/relationships/hyperlink" Target="mailto:subdireccion@inci.gov.co" TargetMode="External"/><Relationship Id="rId45" Type="http://schemas.openxmlformats.org/officeDocument/2006/relationships/hyperlink" Target="mailto:subdireccion@inci.gov.co" TargetMode="External"/><Relationship Id="rId66" Type="http://schemas.openxmlformats.org/officeDocument/2006/relationships/hyperlink" Target="mailto:secretariageneral@inci.gov.co" TargetMode="External"/><Relationship Id="rId61" Type="http://schemas.openxmlformats.org/officeDocument/2006/relationships/hyperlink" Target="mailto:subdireccion@inci.gov.co" TargetMode="External"/><Relationship Id="rId82" Type="http://schemas.openxmlformats.org/officeDocument/2006/relationships/hyperlink" Target="mailto:direccioninci@inci.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220"/>
  <sheetViews>
    <sheetView tabSelected="1" topLeftCell="A4" zoomScale="50" zoomScaleNormal="50" workbookViewId="0">
      <selection activeCell="B6" sqref="B6"/>
    </sheetView>
  </sheetViews>
  <sheetFormatPr baseColWidth="10" defaultColWidth="0" defaultRowHeight="45.75" customHeight="1" zeroHeight="1" x14ac:dyDescent="0.2"/>
  <cols>
    <col min="1" max="1" width="42" style="16" customWidth="1"/>
    <col min="2" max="2" width="36.7109375" style="14" customWidth="1"/>
    <col min="3" max="3" width="40.140625" style="15" customWidth="1"/>
    <col min="4" max="4" width="26" style="328" customWidth="1"/>
    <col min="5" max="5" width="49.7109375" style="15" customWidth="1"/>
    <col min="6" max="6" width="30.28515625" style="15" customWidth="1"/>
    <col min="7" max="7" width="44.140625" style="15" customWidth="1"/>
    <col min="8" max="8" width="67.42578125" style="64" customWidth="1"/>
    <col min="9" max="9" width="28.42578125" style="16" customWidth="1"/>
    <col min="10" max="10" width="21.42578125" style="16" customWidth="1"/>
    <col min="11" max="11" width="23.28515625" style="16" customWidth="1"/>
    <col min="12" max="12" width="26.5703125" style="16" customWidth="1"/>
    <col min="13" max="14" width="23.5703125" style="16" customWidth="1"/>
    <col min="15" max="15" width="24.28515625" style="325" customWidth="1"/>
    <col min="16" max="16" width="53" style="143" customWidth="1"/>
    <col min="17" max="17" width="20" style="16" customWidth="1"/>
    <col min="18" max="18" width="23.5703125" style="16" customWidth="1"/>
    <col min="19" max="19" width="25.85546875" style="16" customWidth="1"/>
    <col min="20" max="20" width="27.85546875" style="16" customWidth="1"/>
    <col min="21" max="21" width="26.85546875" style="16" customWidth="1"/>
    <col min="22" max="22" width="26.28515625" style="16" customWidth="1"/>
    <col min="23" max="23" width="40.28515625" style="16" customWidth="1"/>
    <col min="24" max="24" width="23.28515625" style="325" customWidth="1"/>
    <col min="25" max="25" width="27.140625" style="325" customWidth="1"/>
    <col min="26" max="27" width="29" style="16" customWidth="1"/>
    <col min="28" max="28" width="22" style="16" customWidth="1"/>
    <col min="29" max="29" width="44.42578125" style="22" customWidth="1"/>
    <col min="30" max="30" width="38.140625" style="259" customWidth="1"/>
    <col min="31" max="31" width="38.5703125" style="259" customWidth="1"/>
    <col min="32" max="32" width="30.42578125" style="326" customWidth="1"/>
    <col min="33" max="33" width="33.5703125" style="259" customWidth="1"/>
    <col min="34" max="34" width="42" style="259" hidden="1" customWidth="1"/>
    <col min="35" max="35" width="41.42578125" style="289" customWidth="1"/>
    <col min="36" max="36" width="27.7109375" style="260" customWidth="1"/>
    <col min="37" max="37" width="26.42578125" style="259" customWidth="1"/>
    <col min="38" max="38" width="43.5703125" style="261" customWidth="1"/>
    <col min="39" max="39" width="39.28515625" style="379" customWidth="1"/>
    <col min="40" max="40" width="24.5703125" style="8" hidden="1" customWidth="1"/>
    <col min="41" max="41" width="16.5703125" style="8" bestFit="1" customWidth="1"/>
    <col min="42" max="42" width="18.42578125" style="8" customWidth="1"/>
    <col min="43" max="43" width="16.5703125" style="8" hidden="1" customWidth="1"/>
    <col min="44" max="44" width="17" style="8" hidden="1" customWidth="1"/>
    <col min="45" max="16384" width="11.42578125" style="8" hidden="1"/>
  </cols>
  <sheetData>
    <row r="1" spans="1:43" s="35" customFormat="1" ht="86.25" hidden="1" customHeight="1" x14ac:dyDescent="0.3">
      <c r="A1" s="34" t="s">
        <v>286</v>
      </c>
      <c r="B1" s="63" t="s">
        <v>287</v>
      </c>
      <c r="C1" s="63" t="s">
        <v>290</v>
      </c>
      <c r="D1" s="327" t="s">
        <v>288</v>
      </c>
      <c r="E1" s="56" t="s">
        <v>286</v>
      </c>
      <c r="F1" s="57" t="s">
        <v>287</v>
      </c>
      <c r="G1" s="56" t="s">
        <v>290</v>
      </c>
      <c r="H1" s="315" t="s">
        <v>288</v>
      </c>
      <c r="I1" s="58" t="s">
        <v>289</v>
      </c>
      <c r="J1" s="58" t="s">
        <v>293</v>
      </c>
      <c r="K1" s="60" t="s">
        <v>294</v>
      </c>
      <c r="L1" s="58" t="s">
        <v>288</v>
      </c>
      <c r="M1" s="62" t="s">
        <v>292</v>
      </c>
      <c r="N1" s="142" t="s">
        <v>294</v>
      </c>
      <c r="O1" s="317" t="s">
        <v>288</v>
      </c>
      <c r="P1" s="59"/>
      <c r="Q1" s="197"/>
      <c r="R1" s="198"/>
      <c r="S1" s="59"/>
      <c r="T1" s="59"/>
      <c r="U1" s="59"/>
      <c r="V1" s="59"/>
      <c r="W1" s="59"/>
      <c r="X1" s="319"/>
      <c r="Y1" s="319"/>
      <c r="Z1" s="22"/>
      <c r="AC1" s="233"/>
      <c r="AD1" s="235"/>
      <c r="AE1" s="233"/>
      <c r="AF1" s="234"/>
      <c r="AG1" s="233"/>
      <c r="AH1" s="233"/>
      <c r="AI1" s="286"/>
      <c r="AJ1" s="234"/>
      <c r="AK1" s="233"/>
      <c r="AL1" s="233"/>
      <c r="AM1" s="370"/>
    </row>
    <row r="2" spans="1:43" s="194" customFormat="1" ht="144.75" hidden="1" customHeight="1" x14ac:dyDescent="0.25">
      <c r="A2" s="205" t="s">
        <v>179</v>
      </c>
      <c r="B2" s="206">
        <v>1603655553</v>
      </c>
      <c r="C2" s="207">
        <f>SUM(AC6:AC108)</f>
        <v>1603655553</v>
      </c>
      <c r="D2" s="318">
        <f>B2-C2</f>
        <v>0</v>
      </c>
      <c r="E2" s="209" t="s">
        <v>180</v>
      </c>
      <c r="F2" s="206">
        <v>617069569</v>
      </c>
      <c r="G2" s="208">
        <f>SUM(AC109:AC142)</f>
        <v>617069569</v>
      </c>
      <c r="H2" s="316">
        <f>F2-G2</f>
        <v>0</v>
      </c>
      <c r="I2" s="430" t="s">
        <v>291</v>
      </c>
      <c r="J2" s="431">
        <v>745578147</v>
      </c>
      <c r="K2" s="431">
        <f>SUBTOTAL(9,P143:P202)</f>
        <v>745578147</v>
      </c>
      <c r="L2" s="432">
        <f>J2-K2</f>
        <v>0</v>
      </c>
      <c r="M2" s="433">
        <v>146497059</v>
      </c>
      <c r="N2" s="433">
        <f>SUM(AC203:AC208)</f>
        <v>559303896</v>
      </c>
      <c r="O2" s="318">
        <f>M2-N2</f>
        <v>-412806837</v>
      </c>
      <c r="P2" s="414"/>
      <c r="Q2" s="415"/>
      <c r="R2" s="414"/>
      <c r="S2" s="414"/>
      <c r="T2" s="414"/>
      <c r="U2" s="414"/>
      <c r="V2" s="414"/>
      <c r="W2" s="414"/>
      <c r="X2" s="414"/>
      <c r="Y2" s="414"/>
      <c r="Z2" s="416"/>
      <c r="AA2" s="414"/>
      <c r="AB2" s="414"/>
      <c r="AC2" s="414"/>
      <c r="AD2" s="417"/>
      <c r="AE2" s="415"/>
      <c r="AF2" s="415"/>
      <c r="AG2" s="415"/>
      <c r="AH2" s="415">
        <f>1198950-498263</f>
        <v>700687</v>
      </c>
      <c r="AI2" s="417"/>
      <c r="AJ2" s="415"/>
      <c r="AK2" s="414"/>
      <c r="AL2" s="414"/>
      <c r="AM2" s="417">
        <f>2105.67+179.6+27840.4</f>
        <v>30125.670000000002</v>
      </c>
      <c r="AN2" s="418">
        <f>+AM2-29765.68</f>
        <v>359.9900000000016</v>
      </c>
      <c r="AO2" s="414"/>
    </row>
    <row r="3" spans="1:43" s="61" customFormat="1" ht="76.5" hidden="1" customHeight="1" x14ac:dyDescent="0.25">
      <c r="A3" s="180"/>
      <c r="B3" s="181"/>
      <c r="C3" s="182"/>
      <c r="D3" s="326"/>
      <c r="E3" s="183"/>
      <c r="F3" s="181"/>
      <c r="G3" s="184"/>
      <c r="H3" s="419"/>
      <c r="I3" s="420"/>
      <c r="J3" s="421"/>
      <c r="K3" s="421"/>
      <c r="L3" s="422"/>
      <c r="M3" s="422"/>
      <c r="N3" s="422"/>
      <c r="O3" s="421"/>
      <c r="P3" s="423"/>
      <c r="Q3" s="424"/>
      <c r="R3" s="422"/>
      <c r="S3" s="424"/>
      <c r="T3" s="422"/>
      <c r="U3" s="422"/>
      <c r="V3" s="422"/>
      <c r="W3" s="422"/>
      <c r="X3" s="422"/>
      <c r="Y3" s="422"/>
      <c r="Z3" s="422"/>
      <c r="AA3" s="422"/>
      <c r="AB3" s="421"/>
      <c r="AC3" s="422"/>
      <c r="AD3" s="422"/>
      <c r="AE3" s="422"/>
      <c r="AF3" s="424"/>
      <c r="AG3" s="422"/>
      <c r="AH3" s="422"/>
      <c r="AI3" s="425"/>
      <c r="AJ3" s="424"/>
      <c r="AK3" s="422"/>
      <c r="AL3" s="422"/>
      <c r="AM3" s="425">
        <f>AM4-AI4</f>
        <v>-369622002.62999964</v>
      </c>
      <c r="AN3" s="422"/>
      <c r="AO3" s="422"/>
    </row>
    <row r="4" spans="1:43" ht="62.25" customHeight="1" x14ac:dyDescent="0.2">
      <c r="A4" s="8"/>
      <c r="B4" s="410" t="s">
        <v>417</v>
      </c>
      <c r="C4" s="410"/>
      <c r="D4" s="411"/>
      <c r="E4" s="410"/>
      <c r="F4" s="410"/>
      <c r="G4" s="410"/>
      <c r="H4" s="426"/>
      <c r="I4" s="426"/>
      <c r="J4" s="426"/>
      <c r="K4" s="426"/>
      <c r="L4" s="426"/>
      <c r="M4" s="426"/>
      <c r="N4" s="426"/>
      <c r="O4" s="426"/>
      <c r="P4" s="427">
        <f>SUBTOTAL(9,P6:P208)</f>
        <v>3112800328</v>
      </c>
      <c r="Q4" s="428"/>
      <c r="R4" s="428"/>
      <c r="S4" s="428"/>
      <c r="T4" s="428"/>
      <c r="U4" s="428"/>
      <c r="V4" s="428"/>
      <c r="W4" s="428"/>
      <c r="X4" s="428"/>
      <c r="Y4" s="428"/>
      <c r="Z4" s="428"/>
      <c r="AA4" s="428"/>
      <c r="AB4" s="428"/>
      <c r="AC4" s="427">
        <f>SUBTOTAL(9,AC6:AC208)</f>
        <v>3512800327.9999995</v>
      </c>
      <c r="AD4" s="427"/>
      <c r="AE4" s="427">
        <f>SUBTOTAL(9,AE6:AE208)</f>
        <v>3311637036.8599997</v>
      </c>
      <c r="AF4" s="428"/>
      <c r="AG4" s="428"/>
      <c r="AH4" s="428"/>
      <c r="AI4" s="427">
        <f>SUBTOTAL(9,AI6:AI208)</f>
        <v>3293431702.4799995</v>
      </c>
      <c r="AJ4" s="428"/>
      <c r="AK4" s="428"/>
      <c r="AL4" s="428"/>
      <c r="AM4" s="427">
        <f>SUBTOTAL(9,AM6:AM208)</f>
        <v>2923809699.8499999</v>
      </c>
      <c r="AN4" s="426"/>
      <c r="AO4" s="429"/>
      <c r="AP4" s="413"/>
      <c r="AQ4" s="413"/>
    </row>
    <row r="5" spans="1:43" s="35" customFormat="1" ht="126.75" customHeight="1" x14ac:dyDescent="0.25">
      <c r="A5" s="301" t="s">
        <v>34</v>
      </c>
      <c r="B5" s="301" t="s">
        <v>128</v>
      </c>
      <c r="C5" s="301" t="s">
        <v>35</v>
      </c>
      <c r="D5" s="301" t="s">
        <v>462</v>
      </c>
      <c r="E5" s="301" t="s">
        <v>33</v>
      </c>
      <c r="F5" s="301" t="s">
        <v>129</v>
      </c>
      <c r="G5" s="301" t="s">
        <v>130</v>
      </c>
      <c r="H5" s="301" t="s">
        <v>36</v>
      </c>
      <c r="I5" s="301" t="s">
        <v>2</v>
      </c>
      <c r="J5" s="302" t="s">
        <v>227</v>
      </c>
      <c r="K5" s="302" t="s">
        <v>3</v>
      </c>
      <c r="L5" s="302" t="s">
        <v>4</v>
      </c>
      <c r="M5" s="302" t="s">
        <v>191</v>
      </c>
      <c r="N5" s="302" t="s">
        <v>131</v>
      </c>
      <c r="O5" s="302" t="s">
        <v>5</v>
      </c>
      <c r="P5" s="303" t="s">
        <v>136</v>
      </c>
      <c r="Q5" s="302" t="s">
        <v>132</v>
      </c>
      <c r="R5" s="302" t="s">
        <v>133</v>
      </c>
      <c r="S5" s="302" t="s">
        <v>134</v>
      </c>
      <c r="T5" s="302" t="s">
        <v>135</v>
      </c>
      <c r="U5" s="302" t="s">
        <v>6</v>
      </c>
      <c r="V5" s="302" t="s">
        <v>7</v>
      </c>
      <c r="W5" s="302" t="s">
        <v>8</v>
      </c>
      <c r="X5" s="304" t="s">
        <v>9</v>
      </c>
      <c r="Y5" s="304" t="s">
        <v>10</v>
      </c>
      <c r="Z5" s="304" t="s">
        <v>137</v>
      </c>
      <c r="AA5" s="304" t="s">
        <v>138</v>
      </c>
      <c r="AB5" s="304" t="s">
        <v>139</v>
      </c>
      <c r="AC5" s="305" t="s">
        <v>390</v>
      </c>
      <c r="AD5" s="320" t="s">
        <v>391</v>
      </c>
      <c r="AE5" s="320" t="s">
        <v>392</v>
      </c>
      <c r="AF5" s="321" t="s">
        <v>393</v>
      </c>
      <c r="AG5" s="306" t="s">
        <v>394</v>
      </c>
      <c r="AH5" s="306" t="s">
        <v>395</v>
      </c>
      <c r="AI5" s="307" t="s">
        <v>396</v>
      </c>
      <c r="AJ5" s="308" t="s">
        <v>397</v>
      </c>
      <c r="AK5" s="309" t="s">
        <v>398</v>
      </c>
      <c r="AL5" s="309" t="s">
        <v>399</v>
      </c>
      <c r="AM5" s="380" t="s">
        <v>400</v>
      </c>
      <c r="AN5" s="290" t="s">
        <v>401</v>
      </c>
    </row>
    <row r="6" spans="1:43" ht="116.25" customHeight="1" x14ac:dyDescent="0.2">
      <c r="A6" s="164" t="s">
        <v>117</v>
      </c>
      <c r="B6" s="310" t="s">
        <v>179</v>
      </c>
      <c r="C6" s="67" t="s">
        <v>320</v>
      </c>
      <c r="D6" s="311" t="s">
        <v>118</v>
      </c>
      <c r="E6" s="5" t="s">
        <v>235</v>
      </c>
      <c r="F6" s="7" t="s">
        <v>236</v>
      </c>
      <c r="G6" s="42" t="s">
        <v>382</v>
      </c>
      <c r="H6" s="42" t="s">
        <v>542</v>
      </c>
      <c r="I6" s="7">
        <v>80111600</v>
      </c>
      <c r="J6" s="7">
        <v>1</v>
      </c>
      <c r="K6" s="7">
        <v>1</v>
      </c>
      <c r="L6" s="7">
        <v>11</v>
      </c>
      <c r="M6" s="7">
        <v>1</v>
      </c>
      <c r="N6" s="7" t="s">
        <v>25</v>
      </c>
      <c r="O6" s="191" t="s">
        <v>312</v>
      </c>
      <c r="P6" s="190">
        <f>3318115*11</f>
        <v>36499265</v>
      </c>
      <c r="Q6" s="7">
        <v>0</v>
      </c>
      <c r="R6" s="7">
        <v>0</v>
      </c>
      <c r="S6" s="7" t="s">
        <v>313</v>
      </c>
      <c r="T6" s="7" t="s">
        <v>314</v>
      </c>
      <c r="U6" s="7" t="s">
        <v>541</v>
      </c>
      <c r="V6" s="7">
        <v>3846666</v>
      </c>
      <c r="W6" s="7" t="s">
        <v>178</v>
      </c>
      <c r="X6" s="7" t="s">
        <v>496</v>
      </c>
      <c r="Y6" s="7" t="s">
        <v>248</v>
      </c>
      <c r="Z6" s="7"/>
      <c r="AA6" s="7"/>
      <c r="AB6" s="139">
        <f>3000000+1000000+10820907</f>
        <v>14820907</v>
      </c>
      <c r="AC6" s="139">
        <f>P6+Z6+AA6-AB6</f>
        <v>21678358</v>
      </c>
      <c r="AD6" s="195">
        <v>19323</v>
      </c>
      <c r="AE6" s="312">
        <v>21678358</v>
      </c>
      <c r="AF6" s="312">
        <f>+AC6-AE6</f>
        <v>0</v>
      </c>
      <c r="AG6" s="241">
        <v>21323</v>
      </c>
      <c r="AH6" s="244">
        <v>45092</v>
      </c>
      <c r="AI6" s="246">
        <v>21678358</v>
      </c>
      <c r="AJ6" s="257">
        <f>+AC6-AI6</f>
        <v>0</v>
      </c>
      <c r="AK6" s="241" t="s">
        <v>699</v>
      </c>
      <c r="AL6" s="245" t="s">
        <v>698</v>
      </c>
      <c r="AM6" s="380">
        <f>1769662+3318116+3318116+3318116+3318116+3318116+3318116</f>
        <v>21678358</v>
      </c>
      <c r="AN6" s="13" t="s">
        <v>767</v>
      </c>
      <c r="AQ6" s="402"/>
    </row>
    <row r="7" spans="1:43" ht="116.25" customHeight="1" x14ac:dyDescent="0.2">
      <c r="A7" s="164" t="s">
        <v>117</v>
      </c>
      <c r="B7" s="310" t="s">
        <v>179</v>
      </c>
      <c r="C7" s="67" t="s">
        <v>320</v>
      </c>
      <c r="D7" s="311" t="s">
        <v>118</v>
      </c>
      <c r="E7" s="5" t="s">
        <v>235</v>
      </c>
      <c r="F7" s="18" t="s">
        <v>236</v>
      </c>
      <c r="G7" s="23" t="s">
        <v>226</v>
      </c>
      <c r="H7" s="23" t="s">
        <v>228</v>
      </c>
      <c r="I7" s="18">
        <v>80111600</v>
      </c>
      <c r="J7" s="18">
        <v>1</v>
      </c>
      <c r="K7" s="18">
        <v>1</v>
      </c>
      <c r="L7" s="18">
        <v>11</v>
      </c>
      <c r="M7" s="18">
        <v>1</v>
      </c>
      <c r="N7" s="18" t="s">
        <v>25</v>
      </c>
      <c r="O7" s="187" t="s">
        <v>312</v>
      </c>
      <c r="P7" s="188">
        <f>3318115*11</f>
        <v>36499265</v>
      </c>
      <c r="Q7" s="18">
        <v>0</v>
      </c>
      <c r="R7" s="18">
        <v>0</v>
      </c>
      <c r="S7" s="18" t="s">
        <v>313</v>
      </c>
      <c r="T7" s="18" t="s">
        <v>314</v>
      </c>
      <c r="U7" s="24" t="s">
        <v>541</v>
      </c>
      <c r="V7" s="24">
        <v>3846666</v>
      </c>
      <c r="W7" s="27" t="s">
        <v>178</v>
      </c>
      <c r="X7" s="24" t="s">
        <v>496</v>
      </c>
      <c r="Y7" s="24" t="s">
        <v>248</v>
      </c>
      <c r="Z7" s="24"/>
      <c r="AA7" s="24"/>
      <c r="AB7" s="334">
        <v>3428709</v>
      </c>
      <c r="AC7" s="145">
        <f t="shared" ref="AC7:AC106" si="0">P7+Z7+AA7-AB7</f>
        <v>33070556</v>
      </c>
      <c r="AD7" s="195" t="s">
        <v>549</v>
      </c>
      <c r="AE7" s="312">
        <f>11170991-4534759+26434324</f>
        <v>33070556</v>
      </c>
      <c r="AF7" s="312">
        <f t="shared" ref="AF7:AF105" si="1">+AC7-AE7</f>
        <v>0</v>
      </c>
      <c r="AG7" s="313" t="s">
        <v>564</v>
      </c>
      <c r="AH7" s="255" t="s">
        <v>565</v>
      </c>
      <c r="AI7" s="253">
        <f>11170991-4534759+26434324</f>
        <v>33070556</v>
      </c>
      <c r="AJ7" s="257">
        <f t="shared" ref="AJ7:AJ105" si="2">+AC7-AI7</f>
        <v>0</v>
      </c>
      <c r="AK7" s="245" t="s">
        <v>567</v>
      </c>
      <c r="AL7" s="314" t="s">
        <v>566</v>
      </c>
      <c r="AM7" s="380">
        <f>1216643+3318116+2101473+3207512+3318116+3318116+3318116+3318116+3318116+3318116+3318116</f>
        <v>33070556</v>
      </c>
      <c r="AN7" s="13" t="s">
        <v>767</v>
      </c>
      <c r="AQ7" s="402"/>
    </row>
    <row r="8" spans="1:43" ht="116.25" customHeight="1" x14ac:dyDescent="0.2">
      <c r="A8" s="185" t="s">
        <v>117</v>
      </c>
      <c r="B8" s="171" t="s">
        <v>179</v>
      </c>
      <c r="C8" s="172" t="s">
        <v>320</v>
      </c>
      <c r="D8" s="173" t="s">
        <v>118</v>
      </c>
      <c r="E8" s="37" t="s">
        <v>235</v>
      </c>
      <c r="F8" s="39" t="s">
        <v>236</v>
      </c>
      <c r="G8" s="291" t="s">
        <v>226</v>
      </c>
      <c r="H8" s="291" t="s">
        <v>228</v>
      </c>
      <c r="I8" s="39">
        <v>80111600</v>
      </c>
      <c r="J8" s="39">
        <v>1</v>
      </c>
      <c r="K8" s="39">
        <v>1</v>
      </c>
      <c r="L8" s="39">
        <v>11</v>
      </c>
      <c r="M8" s="39">
        <v>1</v>
      </c>
      <c r="N8" s="39" t="s">
        <v>25</v>
      </c>
      <c r="O8" s="292" t="s">
        <v>312</v>
      </c>
      <c r="P8" s="293">
        <v>23371519</v>
      </c>
      <c r="Q8" s="39">
        <v>0</v>
      </c>
      <c r="R8" s="39">
        <v>0</v>
      </c>
      <c r="S8" s="39" t="s">
        <v>313</v>
      </c>
      <c r="T8" s="39" t="s">
        <v>314</v>
      </c>
      <c r="U8" s="294" t="s">
        <v>541</v>
      </c>
      <c r="V8" s="294">
        <v>3846666</v>
      </c>
      <c r="W8" s="295" t="s">
        <v>178</v>
      </c>
      <c r="X8" s="294" t="s">
        <v>496</v>
      </c>
      <c r="Y8" s="294" t="s">
        <v>248</v>
      </c>
      <c r="Z8" s="294"/>
      <c r="AA8" s="294"/>
      <c r="AB8" s="294"/>
      <c r="AC8" s="296">
        <f t="shared" si="0"/>
        <v>23371519</v>
      </c>
      <c r="AD8" s="297" t="s">
        <v>550</v>
      </c>
      <c r="AE8" s="210">
        <f>11170991-4313551+16514079</f>
        <v>23371519</v>
      </c>
      <c r="AF8" s="210">
        <f t="shared" si="1"/>
        <v>0</v>
      </c>
      <c r="AG8" s="298" t="s">
        <v>568</v>
      </c>
      <c r="AH8" s="299" t="s">
        <v>565</v>
      </c>
      <c r="AI8" s="288">
        <f>11170991-4313551+16514079</f>
        <v>23371519</v>
      </c>
      <c r="AJ8" s="240">
        <f t="shared" si="2"/>
        <v>0</v>
      </c>
      <c r="AK8" s="300" t="s">
        <v>569</v>
      </c>
      <c r="AL8" s="300" t="s">
        <v>571</v>
      </c>
      <c r="AM8" s="376">
        <f>1216643+3318116+2322681+3207512+3318116+3318116+3318116+3338116+14103</f>
        <v>23371519</v>
      </c>
      <c r="AN8" s="13"/>
      <c r="AQ8" s="402"/>
    </row>
    <row r="9" spans="1:43" ht="116.25" customHeight="1" x14ac:dyDescent="0.2">
      <c r="A9" s="186" t="s">
        <v>117</v>
      </c>
      <c r="B9" s="65" t="s">
        <v>179</v>
      </c>
      <c r="C9" s="67" t="s">
        <v>320</v>
      </c>
      <c r="D9" s="69" t="s">
        <v>118</v>
      </c>
      <c r="E9" s="5" t="s">
        <v>235</v>
      </c>
      <c r="F9" s="18" t="s">
        <v>236</v>
      </c>
      <c r="G9" s="23" t="s">
        <v>226</v>
      </c>
      <c r="H9" s="23" t="s">
        <v>228</v>
      </c>
      <c r="I9" s="18">
        <v>80111600</v>
      </c>
      <c r="J9" s="18">
        <v>1</v>
      </c>
      <c r="K9" s="18">
        <v>1</v>
      </c>
      <c r="L9" s="18">
        <v>11</v>
      </c>
      <c r="M9" s="18">
        <v>1</v>
      </c>
      <c r="N9" s="18" t="s">
        <v>25</v>
      </c>
      <c r="O9" s="187" t="s">
        <v>386</v>
      </c>
      <c r="P9" s="190">
        <v>13127746</v>
      </c>
      <c r="Q9" s="18">
        <v>0</v>
      </c>
      <c r="R9" s="18">
        <v>0</v>
      </c>
      <c r="S9" s="18" t="s">
        <v>313</v>
      </c>
      <c r="T9" s="18" t="s">
        <v>314</v>
      </c>
      <c r="U9" s="24" t="s">
        <v>541</v>
      </c>
      <c r="V9" s="24">
        <v>3846666</v>
      </c>
      <c r="W9" s="27" t="s">
        <v>178</v>
      </c>
      <c r="X9" s="24" t="s">
        <v>496</v>
      </c>
      <c r="Y9" s="24" t="s">
        <v>248</v>
      </c>
      <c r="Z9" s="24"/>
      <c r="AA9" s="24"/>
      <c r="AB9" s="334">
        <v>3207501</v>
      </c>
      <c r="AC9" s="145">
        <f t="shared" si="0"/>
        <v>9920245</v>
      </c>
      <c r="AD9" s="195">
        <v>12223</v>
      </c>
      <c r="AE9" s="211">
        <v>9920245</v>
      </c>
      <c r="AF9" s="210">
        <f t="shared" si="1"/>
        <v>0</v>
      </c>
      <c r="AG9" s="241">
        <v>13623</v>
      </c>
      <c r="AH9" s="244">
        <v>45048</v>
      </c>
      <c r="AI9" s="288">
        <v>9920245</v>
      </c>
      <c r="AJ9" s="240">
        <f t="shared" si="2"/>
        <v>0</v>
      </c>
      <c r="AK9" s="241" t="s">
        <v>570</v>
      </c>
      <c r="AL9" s="241" t="s">
        <v>572</v>
      </c>
      <c r="AM9" s="367">
        <f>34103+3284013+3318116+3318116-34103</f>
        <v>9920245</v>
      </c>
      <c r="AN9" s="13" t="s">
        <v>767</v>
      </c>
      <c r="AQ9" s="402"/>
    </row>
    <row r="10" spans="1:43" ht="113.25" customHeight="1" x14ac:dyDescent="0.2">
      <c r="A10" s="186" t="s">
        <v>117</v>
      </c>
      <c r="B10" s="65" t="s">
        <v>179</v>
      </c>
      <c r="C10" s="67" t="s">
        <v>320</v>
      </c>
      <c r="D10" s="69" t="s">
        <v>118</v>
      </c>
      <c r="E10" s="5" t="s">
        <v>235</v>
      </c>
      <c r="F10" s="18" t="s">
        <v>236</v>
      </c>
      <c r="G10" s="23" t="s">
        <v>226</v>
      </c>
      <c r="H10" s="23" t="s">
        <v>229</v>
      </c>
      <c r="I10" s="18" t="s">
        <v>1</v>
      </c>
      <c r="J10" s="18" t="s">
        <v>1</v>
      </c>
      <c r="K10" s="18" t="s">
        <v>1</v>
      </c>
      <c r="L10" s="18" t="s">
        <v>1</v>
      </c>
      <c r="M10" s="18" t="s">
        <v>1</v>
      </c>
      <c r="N10" s="18" t="s">
        <v>45</v>
      </c>
      <c r="O10" s="187" t="s">
        <v>385</v>
      </c>
      <c r="P10" s="188">
        <v>19903500</v>
      </c>
      <c r="Q10" s="18">
        <v>0</v>
      </c>
      <c r="R10" s="18">
        <v>0</v>
      </c>
      <c r="S10" s="18" t="s">
        <v>313</v>
      </c>
      <c r="T10" s="18" t="s">
        <v>314</v>
      </c>
      <c r="U10" s="24" t="s">
        <v>541</v>
      </c>
      <c r="V10" s="24">
        <v>3846667</v>
      </c>
      <c r="W10" s="27" t="s">
        <v>178</v>
      </c>
      <c r="X10" s="24" t="s">
        <v>249</v>
      </c>
      <c r="Y10" s="24" t="s">
        <v>1</v>
      </c>
      <c r="Z10" s="24"/>
      <c r="AA10" s="334">
        <v>1000000</v>
      </c>
      <c r="AB10" s="334">
        <v>5000000</v>
      </c>
      <c r="AC10" s="145">
        <f t="shared" si="0"/>
        <v>15903500</v>
      </c>
      <c r="AD10" s="284" t="s">
        <v>834</v>
      </c>
      <c r="AE10" s="221">
        <f>149432+149432+149432+1344884+747158+1037646+1037646-1037646+891752+693585+1037646-693585+891752+891752+1046021+152929+1198950+1198950+171279+171279-145894+1541507+1189350+794990+794990+498263-498263</f>
        <v>15405237</v>
      </c>
      <c r="AF10" s="222">
        <f>+AC10-AE10</f>
        <v>498263</v>
      </c>
      <c r="AG10" s="252" t="s">
        <v>864</v>
      </c>
      <c r="AH10" s="255" t="s">
        <v>865</v>
      </c>
      <c r="AI10" s="277">
        <f>149432+149432+149432+747158+891752+1037646+1037646+1344884+891752+1046021+891752+152929+171279+1198950+1198950-145894+171279+1189350+1541507+794990+794990+498263-498263</f>
        <v>15405237</v>
      </c>
      <c r="AJ10" s="240">
        <f t="shared" si="2"/>
        <v>498263</v>
      </c>
      <c r="AK10" s="241" t="s">
        <v>249</v>
      </c>
      <c r="AL10" s="245" t="s">
        <v>866</v>
      </c>
      <c r="AM10" s="385">
        <f>149432+149432+149432+747158+891752+1037646+1037646+1344884+891752+891752+1046021+152929-145894+171279+1198950+1198950+171279+1189350+1541507+794990+794990</f>
        <v>15405237</v>
      </c>
      <c r="AN10" s="13" t="s">
        <v>815</v>
      </c>
      <c r="AQ10" s="402"/>
    </row>
    <row r="11" spans="1:43" ht="116.25" customHeight="1" x14ac:dyDescent="0.2">
      <c r="A11" s="186" t="s">
        <v>117</v>
      </c>
      <c r="B11" s="65" t="s">
        <v>179</v>
      </c>
      <c r="C11" s="67" t="s">
        <v>320</v>
      </c>
      <c r="D11" s="69" t="s">
        <v>118</v>
      </c>
      <c r="E11" s="5" t="s">
        <v>235</v>
      </c>
      <c r="F11" s="18" t="s">
        <v>236</v>
      </c>
      <c r="G11" s="23" t="s">
        <v>226</v>
      </c>
      <c r="H11" s="23" t="s">
        <v>229</v>
      </c>
      <c r="I11" s="18" t="s">
        <v>1</v>
      </c>
      <c r="J11" s="18" t="s">
        <v>1</v>
      </c>
      <c r="K11" s="18" t="s">
        <v>1</v>
      </c>
      <c r="L11" s="18" t="s">
        <v>1</v>
      </c>
      <c r="M11" s="18" t="s">
        <v>1</v>
      </c>
      <c r="N11" s="18" t="s">
        <v>45</v>
      </c>
      <c r="O11" s="187" t="s">
        <v>312</v>
      </c>
      <c r="P11" s="188">
        <v>0</v>
      </c>
      <c r="Q11" s="18">
        <v>0</v>
      </c>
      <c r="R11" s="18">
        <v>0</v>
      </c>
      <c r="S11" s="18" t="s">
        <v>313</v>
      </c>
      <c r="T11" s="18" t="s">
        <v>314</v>
      </c>
      <c r="U11" s="24" t="s">
        <v>541</v>
      </c>
      <c r="V11" s="24">
        <v>3846667</v>
      </c>
      <c r="W11" s="27" t="s">
        <v>178</v>
      </c>
      <c r="X11" s="24" t="s">
        <v>249</v>
      </c>
      <c r="Y11" s="24" t="s">
        <v>1</v>
      </c>
      <c r="Z11" s="334">
        <v>3000000</v>
      </c>
      <c r="AA11" s="24"/>
      <c r="AB11" s="334"/>
      <c r="AC11" s="145">
        <f>P11+Z11+AA11-AB11</f>
        <v>3000000</v>
      </c>
      <c r="AD11" s="360" t="s">
        <v>858</v>
      </c>
      <c r="AE11" s="361">
        <f>700687+513836-186851</f>
        <v>1027672</v>
      </c>
      <c r="AF11" s="362">
        <f>+AC11-AE11</f>
        <v>1972328</v>
      </c>
      <c r="AG11" s="352" t="s">
        <v>867</v>
      </c>
      <c r="AH11" s="364" t="s">
        <v>869</v>
      </c>
      <c r="AI11" s="361">
        <f>700687+513836-186851</f>
        <v>1027672</v>
      </c>
      <c r="AJ11" s="236">
        <f>+AC11-AI11</f>
        <v>1972328</v>
      </c>
      <c r="AK11" s="243" t="s">
        <v>249</v>
      </c>
      <c r="AL11" s="228" t="s">
        <v>871</v>
      </c>
      <c r="AM11" s="365">
        <f>513836+513836</f>
        <v>1027672</v>
      </c>
      <c r="AN11" s="13" t="s">
        <v>557</v>
      </c>
      <c r="AQ11" s="402"/>
    </row>
    <row r="12" spans="1:43" ht="84" customHeight="1" x14ac:dyDescent="0.2">
      <c r="A12" s="186" t="s">
        <v>117</v>
      </c>
      <c r="B12" s="65" t="s">
        <v>179</v>
      </c>
      <c r="C12" s="67" t="s">
        <v>320</v>
      </c>
      <c r="D12" s="69" t="s">
        <v>118</v>
      </c>
      <c r="E12" s="5" t="s">
        <v>235</v>
      </c>
      <c r="F12" s="18" t="s">
        <v>236</v>
      </c>
      <c r="G12" s="23" t="s">
        <v>226</v>
      </c>
      <c r="H12" s="23" t="s">
        <v>575</v>
      </c>
      <c r="I12" s="18" t="s">
        <v>1</v>
      </c>
      <c r="J12" s="18" t="s">
        <v>1</v>
      </c>
      <c r="K12" s="18" t="s">
        <v>1</v>
      </c>
      <c r="L12" s="18" t="s">
        <v>1</v>
      </c>
      <c r="M12" s="18" t="s">
        <v>1</v>
      </c>
      <c r="N12" s="18" t="s">
        <v>45</v>
      </c>
      <c r="O12" s="187" t="s">
        <v>385</v>
      </c>
      <c r="P12" s="188">
        <v>0</v>
      </c>
      <c r="Q12" s="18">
        <v>0</v>
      </c>
      <c r="R12" s="18">
        <v>0</v>
      </c>
      <c r="S12" s="18" t="s">
        <v>313</v>
      </c>
      <c r="T12" s="18" t="s">
        <v>314</v>
      </c>
      <c r="U12" s="24" t="s">
        <v>541</v>
      </c>
      <c r="V12" s="24">
        <v>3846667</v>
      </c>
      <c r="W12" s="27" t="s">
        <v>178</v>
      </c>
      <c r="X12" s="24" t="s">
        <v>837</v>
      </c>
      <c r="Y12" s="24" t="s">
        <v>1</v>
      </c>
      <c r="Z12" s="334">
        <v>5000000</v>
      </c>
      <c r="AA12" s="334">
        <v>1000000</v>
      </c>
      <c r="AB12" s="24"/>
      <c r="AC12" s="145">
        <f>P12+Z12+AA12-AB12</f>
        <v>6000000</v>
      </c>
      <c r="AD12" s="284" t="s">
        <v>821</v>
      </c>
      <c r="AE12" s="221">
        <f>1189350+925050+1189350+1189350+1189350</f>
        <v>5682450</v>
      </c>
      <c r="AF12" s="222">
        <f>+AC12-AE12</f>
        <v>317550</v>
      </c>
      <c r="AG12" s="245" t="s">
        <v>829</v>
      </c>
      <c r="AH12" s="255" t="s">
        <v>830</v>
      </c>
      <c r="AI12" s="277">
        <f>1189350+925050+1189350+1189350+1189350</f>
        <v>5682450</v>
      </c>
      <c r="AJ12" s="240">
        <f>+AC12-AI12</f>
        <v>317550</v>
      </c>
      <c r="AK12" s="241" t="s">
        <v>249</v>
      </c>
      <c r="AL12" s="245" t="s">
        <v>733</v>
      </c>
      <c r="AM12" s="385">
        <f>1189350+925050+1189350+1189350+1189350</f>
        <v>5682450</v>
      </c>
      <c r="AN12" s="13" t="s">
        <v>815</v>
      </c>
      <c r="AQ12" s="402"/>
    </row>
    <row r="13" spans="1:43" ht="116.25" customHeight="1" x14ac:dyDescent="0.2">
      <c r="A13" s="186" t="s">
        <v>117</v>
      </c>
      <c r="B13" s="65" t="s">
        <v>179</v>
      </c>
      <c r="C13" s="67" t="s">
        <v>320</v>
      </c>
      <c r="D13" s="69" t="s">
        <v>118</v>
      </c>
      <c r="E13" s="5" t="s">
        <v>235</v>
      </c>
      <c r="F13" s="18" t="s">
        <v>236</v>
      </c>
      <c r="G13" s="23" t="s">
        <v>226</v>
      </c>
      <c r="H13" s="23" t="s">
        <v>575</v>
      </c>
      <c r="I13" s="18" t="s">
        <v>1</v>
      </c>
      <c r="J13" s="18" t="s">
        <v>1</v>
      </c>
      <c r="K13" s="18" t="s">
        <v>1</v>
      </c>
      <c r="L13" s="18" t="s">
        <v>1</v>
      </c>
      <c r="M13" s="18" t="s">
        <v>1</v>
      </c>
      <c r="N13" s="18" t="s">
        <v>45</v>
      </c>
      <c r="O13" s="187" t="s">
        <v>312</v>
      </c>
      <c r="P13" s="188">
        <v>0</v>
      </c>
      <c r="Q13" s="18">
        <v>0</v>
      </c>
      <c r="R13" s="18">
        <v>0</v>
      </c>
      <c r="S13" s="18" t="s">
        <v>313</v>
      </c>
      <c r="T13" s="18" t="s">
        <v>314</v>
      </c>
      <c r="U13" s="24" t="s">
        <v>541</v>
      </c>
      <c r="V13" s="24">
        <v>3846667</v>
      </c>
      <c r="W13" s="27" t="s">
        <v>178</v>
      </c>
      <c r="X13" s="24" t="s">
        <v>837</v>
      </c>
      <c r="Y13" s="24" t="s">
        <v>1</v>
      </c>
      <c r="Z13" s="334">
        <v>1000000</v>
      </c>
      <c r="AA13" s="24"/>
      <c r="AB13" s="24"/>
      <c r="AC13" s="145">
        <f>P13+Z13+AA13-AB13</f>
        <v>1000000</v>
      </c>
      <c r="AD13" s="360"/>
      <c r="AE13" s="361"/>
      <c r="AF13" s="362">
        <f>+AC13-AE13</f>
        <v>1000000</v>
      </c>
      <c r="AG13" s="243"/>
      <c r="AH13" s="364"/>
      <c r="AI13" s="361"/>
      <c r="AJ13" s="236">
        <f>+AC13-AI13</f>
        <v>1000000</v>
      </c>
      <c r="AK13" s="243"/>
      <c r="AL13" s="228"/>
      <c r="AM13" s="365"/>
      <c r="AN13" s="13" t="s">
        <v>557</v>
      </c>
      <c r="AQ13" s="402"/>
    </row>
    <row r="14" spans="1:43" ht="116.25" customHeight="1" x14ac:dyDescent="0.2">
      <c r="A14" s="186" t="s">
        <v>117</v>
      </c>
      <c r="B14" s="65" t="s">
        <v>179</v>
      </c>
      <c r="C14" s="67" t="s">
        <v>320</v>
      </c>
      <c r="D14" s="69" t="s">
        <v>118</v>
      </c>
      <c r="E14" s="5" t="s">
        <v>235</v>
      </c>
      <c r="F14" s="18" t="s">
        <v>236</v>
      </c>
      <c r="G14" s="23" t="s">
        <v>226</v>
      </c>
      <c r="H14" s="23" t="s">
        <v>230</v>
      </c>
      <c r="I14" s="18" t="s">
        <v>1</v>
      </c>
      <c r="J14" s="18" t="s">
        <v>1</v>
      </c>
      <c r="K14" s="18" t="s">
        <v>1</v>
      </c>
      <c r="L14" s="18" t="s">
        <v>1</v>
      </c>
      <c r="M14" s="18" t="s">
        <v>1</v>
      </c>
      <c r="N14" s="18" t="s">
        <v>45</v>
      </c>
      <c r="O14" s="187" t="s">
        <v>312</v>
      </c>
      <c r="P14" s="188">
        <v>5920000</v>
      </c>
      <c r="Q14" s="18">
        <v>0</v>
      </c>
      <c r="R14" s="18">
        <v>0</v>
      </c>
      <c r="S14" s="18" t="s">
        <v>313</v>
      </c>
      <c r="T14" s="18" t="s">
        <v>314</v>
      </c>
      <c r="U14" s="24" t="s">
        <v>541</v>
      </c>
      <c r="V14" s="24">
        <v>3846668</v>
      </c>
      <c r="W14" s="27" t="s">
        <v>178</v>
      </c>
      <c r="X14" s="24" t="s">
        <v>251</v>
      </c>
      <c r="Y14" s="24" t="s">
        <v>1</v>
      </c>
      <c r="Z14" s="24"/>
      <c r="AA14" s="334"/>
      <c r="AB14" s="24"/>
      <c r="AC14" s="145">
        <f t="shared" si="0"/>
        <v>5920000</v>
      </c>
      <c r="AD14" s="284" t="s">
        <v>859</v>
      </c>
      <c r="AE14" s="221">
        <f>20000+10000+36000+100000+162000+200000+220000-200000+140000+200000+240000+260000-240000+240000+280000+128000+170000+120000+100000+36000+80000-4000+6000+200000+170000+50000+434000+390000+240000+200000+270000+10000+40000+20000+182000+190000-4000-132000-50000</f>
        <v>4514000</v>
      </c>
      <c r="AF14" s="222">
        <f t="shared" si="1"/>
        <v>1406000</v>
      </c>
      <c r="AG14" s="252" t="s">
        <v>868</v>
      </c>
      <c r="AH14" s="255" t="s">
        <v>870</v>
      </c>
      <c r="AI14" s="277">
        <f>20000+10000+36000+100000+240000+220000+260000+302000+200000+128000+280000-4000+170000+36000+80000+120000+100000+6000+200000+220000+390000+434000+20000+270000+200000+240000+10000+40000+182000-4000+190000-132000-50000</f>
        <v>4514000</v>
      </c>
      <c r="AJ14" s="240">
        <f t="shared" si="2"/>
        <v>1406000</v>
      </c>
      <c r="AK14" s="245" t="s">
        <v>518</v>
      </c>
      <c r="AL14" s="245" t="s">
        <v>872</v>
      </c>
      <c r="AM14" s="385">
        <f>20000+36000+10000+100000+240000+220000+260000+302000+200000-4000+280000+128000+170000+36000+120000+100000+6000+80000+200000+220000+390000+434000+20000+240000+240000+270000+10000+40000+50000+96000</f>
        <v>4514000</v>
      </c>
      <c r="AN14" s="13" t="s">
        <v>557</v>
      </c>
      <c r="AP14" s="402">
        <f>AM14-AI14</f>
        <v>0</v>
      </c>
      <c r="AQ14" s="402"/>
    </row>
    <row r="15" spans="1:43" ht="116.25" customHeight="1" x14ac:dyDescent="0.2">
      <c r="A15" s="186" t="s">
        <v>117</v>
      </c>
      <c r="B15" s="65" t="s">
        <v>179</v>
      </c>
      <c r="C15" s="67" t="s">
        <v>320</v>
      </c>
      <c r="D15" s="69" t="s">
        <v>118</v>
      </c>
      <c r="E15" s="5" t="s">
        <v>235</v>
      </c>
      <c r="F15" s="18" t="s">
        <v>236</v>
      </c>
      <c r="G15" s="23" t="s">
        <v>226</v>
      </c>
      <c r="H15" s="23" t="s">
        <v>230</v>
      </c>
      <c r="I15" s="18" t="s">
        <v>1</v>
      </c>
      <c r="J15" s="18" t="s">
        <v>1</v>
      </c>
      <c r="K15" s="18" t="s">
        <v>1</v>
      </c>
      <c r="L15" s="18" t="s">
        <v>1</v>
      </c>
      <c r="M15" s="18" t="s">
        <v>1</v>
      </c>
      <c r="N15" s="18" t="s">
        <v>45</v>
      </c>
      <c r="O15" s="187" t="s">
        <v>385</v>
      </c>
      <c r="P15" s="188">
        <v>0</v>
      </c>
      <c r="Q15" s="18">
        <v>0</v>
      </c>
      <c r="R15" s="18">
        <v>0</v>
      </c>
      <c r="S15" s="18" t="s">
        <v>313</v>
      </c>
      <c r="T15" s="18" t="s">
        <v>314</v>
      </c>
      <c r="U15" s="24" t="s">
        <v>541</v>
      </c>
      <c r="V15" s="24">
        <v>3846668</v>
      </c>
      <c r="W15" s="27" t="s">
        <v>178</v>
      </c>
      <c r="X15" s="24" t="s">
        <v>251</v>
      </c>
      <c r="Y15" s="24" t="s">
        <v>1</v>
      </c>
      <c r="Z15" s="334">
        <v>600000</v>
      </c>
      <c r="AA15" s="334"/>
      <c r="AB15" s="24"/>
      <c r="AC15" s="145">
        <f>P15+Z15+AA15-AB15</f>
        <v>600000</v>
      </c>
      <c r="AD15" s="360"/>
      <c r="AE15" s="361"/>
      <c r="AF15" s="362">
        <f>+AC15-AE15</f>
        <v>600000</v>
      </c>
      <c r="AG15" s="352"/>
      <c r="AH15" s="364"/>
      <c r="AI15" s="361"/>
      <c r="AJ15" s="236">
        <f>+AC15-AI15</f>
        <v>600000</v>
      </c>
      <c r="AK15" s="228"/>
      <c r="AL15" s="228"/>
      <c r="AM15" s="389"/>
      <c r="AN15" s="13" t="s">
        <v>815</v>
      </c>
      <c r="AQ15" s="402"/>
    </row>
    <row r="16" spans="1:43" ht="116.25" customHeight="1" x14ac:dyDescent="0.2">
      <c r="A16" s="186" t="s">
        <v>117</v>
      </c>
      <c r="B16" s="65" t="s">
        <v>179</v>
      </c>
      <c r="C16" s="67" t="s">
        <v>320</v>
      </c>
      <c r="D16" s="69" t="s">
        <v>118</v>
      </c>
      <c r="E16" s="5" t="s">
        <v>235</v>
      </c>
      <c r="F16" s="18" t="s">
        <v>236</v>
      </c>
      <c r="G16" s="23" t="s">
        <v>226</v>
      </c>
      <c r="H16" s="23" t="s">
        <v>119</v>
      </c>
      <c r="I16" s="18">
        <v>78111502</v>
      </c>
      <c r="J16" s="18">
        <v>3</v>
      </c>
      <c r="K16" s="18">
        <v>3</v>
      </c>
      <c r="L16" s="18">
        <v>9</v>
      </c>
      <c r="M16" s="18">
        <v>1</v>
      </c>
      <c r="N16" s="18" t="s">
        <v>25</v>
      </c>
      <c r="O16" s="187" t="s">
        <v>312</v>
      </c>
      <c r="P16" s="188">
        <v>12000000</v>
      </c>
      <c r="Q16" s="18">
        <v>0</v>
      </c>
      <c r="R16" s="18">
        <v>0</v>
      </c>
      <c r="S16" s="18" t="s">
        <v>313</v>
      </c>
      <c r="T16" s="18" t="s">
        <v>314</v>
      </c>
      <c r="U16" s="24" t="s">
        <v>541</v>
      </c>
      <c r="V16" s="24">
        <v>3846666</v>
      </c>
      <c r="W16" s="27" t="s">
        <v>178</v>
      </c>
      <c r="X16" s="24" t="s">
        <v>250</v>
      </c>
      <c r="Y16" s="24" t="s">
        <v>41</v>
      </c>
      <c r="Z16" s="24"/>
      <c r="AA16" s="24"/>
      <c r="AB16" s="24"/>
      <c r="AC16" s="145">
        <f t="shared" si="0"/>
        <v>12000000</v>
      </c>
      <c r="AD16" s="195">
        <v>13423</v>
      </c>
      <c r="AE16" s="211">
        <v>12000000</v>
      </c>
      <c r="AF16" s="210">
        <f t="shared" si="1"/>
        <v>0</v>
      </c>
      <c r="AG16" s="241">
        <v>17523</v>
      </c>
      <c r="AH16" s="244">
        <v>45076</v>
      </c>
      <c r="AI16" s="331">
        <v>12000000</v>
      </c>
      <c r="AJ16" s="240">
        <f t="shared" si="2"/>
        <v>0</v>
      </c>
      <c r="AK16" s="241" t="s">
        <v>604</v>
      </c>
      <c r="AL16" s="245" t="s">
        <v>605</v>
      </c>
      <c r="AM16" s="373">
        <f>3800935+3367236+2273990+2557839</f>
        <v>12000000</v>
      </c>
      <c r="AN16" s="12"/>
      <c r="AQ16" s="402"/>
    </row>
    <row r="17" spans="1:43" ht="116.25" customHeight="1" x14ac:dyDescent="0.2">
      <c r="A17" s="186" t="s">
        <v>117</v>
      </c>
      <c r="B17" s="65" t="s">
        <v>179</v>
      </c>
      <c r="C17" s="67" t="s">
        <v>320</v>
      </c>
      <c r="D17" s="69" t="s">
        <v>118</v>
      </c>
      <c r="E17" s="5" t="s">
        <v>235</v>
      </c>
      <c r="F17" s="38" t="s">
        <v>237</v>
      </c>
      <c r="G17" s="40" t="s">
        <v>243</v>
      </c>
      <c r="H17" s="40" t="s">
        <v>231</v>
      </c>
      <c r="I17" s="38">
        <v>80111600</v>
      </c>
      <c r="J17" s="38">
        <v>1</v>
      </c>
      <c r="K17" s="38">
        <v>1</v>
      </c>
      <c r="L17" s="38">
        <v>11</v>
      </c>
      <c r="M17" s="38">
        <v>1</v>
      </c>
      <c r="N17" s="38" t="s">
        <v>25</v>
      </c>
      <c r="O17" s="187" t="s">
        <v>312</v>
      </c>
      <c r="P17" s="188">
        <f>3318115*11</f>
        <v>36499265</v>
      </c>
      <c r="Q17" s="88">
        <v>0</v>
      </c>
      <c r="R17" s="88">
        <v>0</v>
      </c>
      <c r="S17" s="88" t="s">
        <v>313</v>
      </c>
      <c r="T17" s="88" t="s">
        <v>314</v>
      </c>
      <c r="U17" s="66" t="s">
        <v>541</v>
      </c>
      <c r="V17" s="66">
        <v>3846666</v>
      </c>
      <c r="W17" s="89" t="s">
        <v>178</v>
      </c>
      <c r="X17" s="66" t="s">
        <v>496</v>
      </c>
      <c r="Y17" s="66" t="s">
        <v>464</v>
      </c>
      <c r="Z17" s="66"/>
      <c r="AA17" s="66"/>
      <c r="AB17" s="285">
        <f>1343878+1200000</f>
        <v>2543878</v>
      </c>
      <c r="AC17" s="158">
        <f t="shared" si="0"/>
        <v>33955387</v>
      </c>
      <c r="AD17" s="195" t="s">
        <v>621</v>
      </c>
      <c r="AE17" s="211">
        <f>11613406-110604+22673793-221208</f>
        <v>33955387</v>
      </c>
      <c r="AF17" s="210">
        <f t="shared" si="1"/>
        <v>0</v>
      </c>
      <c r="AG17" s="237" t="s">
        <v>688</v>
      </c>
      <c r="AH17" s="238" t="s">
        <v>689</v>
      </c>
      <c r="AI17" s="239">
        <f>11502802+22452585</f>
        <v>33955387</v>
      </c>
      <c r="AJ17" s="240">
        <f t="shared" si="2"/>
        <v>0</v>
      </c>
      <c r="AK17" s="245" t="s">
        <v>690</v>
      </c>
      <c r="AL17" s="242" t="s">
        <v>479</v>
      </c>
      <c r="AM17" s="373">
        <f>1548454+3318116+3318116+3318116+2543889+3318116+3318116+3318116+3318116+3318116+3318116</f>
        <v>33955387</v>
      </c>
      <c r="AN17" s="13" t="s">
        <v>557</v>
      </c>
      <c r="AQ17" s="402"/>
    </row>
    <row r="18" spans="1:43" ht="116.25" customHeight="1" x14ac:dyDescent="0.2">
      <c r="A18" s="186" t="s">
        <v>117</v>
      </c>
      <c r="B18" s="65" t="s">
        <v>179</v>
      </c>
      <c r="C18" s="67" t="s">
        <v>320</v>
      </c>
      <c r="D18" s="69" t="s">
        <v>118</v>
      </c>
      <c r="E18" s="5" t="s">
        <v>235</v>
      </c>
      <c r="F18" s="38" t="s">
        <v>237</v>
      </c>
      <c r="G18" s="40" t="s">
        <v>243</v>
      </c>
      <c r="H18" s="40" t="s">
        <v>229</v>
      </c>
      <c r="I18" s="38" t="s">
        <v>1</v>
      </c>
      <c r="J18" s="38" t="s">
        <v>1</v>
      </c>
      <c r="K18" s="38" t="s">
        <v>1</v>
      </c>
      <c r="L18" s="38" t="s">
        <v>1</v>
      </c>
      <c r="M18" s="38" t="s">
        <v>1</v>
      </c>
      <c r="N18" s="38" t="s">
        <v>45</v>
      </c>
      <c r="O18" s="187" t="s">
        <v>385</v>
      </c>
      <c r="P18" s="188">
        <v>7252000</v>
      </c>
      <c r="Q18" s="88">
        <v>0</v>
      </c>
      <c r="R18" s="88">
        <v>0</v>
      </c>
      <c r="S18" s="88" t="s">
        <v>313</v>
      </c>
      <c r="T18" s="88" t="s">
        <v>314</v>
      </c>
      <c r="U18" s="66" t="s">
        <v>541</v>
      </c>
      <c r="V18" s="66">
        <v>3846666</v>
      </c>
      <c r="W18" s="89" t="s">
        <v>178</v>
      </c>
      <c r="X18" s="66" t="s">
        <v>249</v>
      </c>
      <c r="Y18" s="66" t="s">
        <v>1</v>
      </c>
      <c r="Z18" s="66"/>
      <c r="AA18" s="66"/>
      <c r="AB18" s="285">
        <v>3500000</v>
      </c>
      <c r="AC18" s="158">
        <f t="shared" si="0"/>
        <v>3752000</v>
      </c>
      <c r="AD18" s="284" t="s">
        <v>676</v>
      </c>
      <c r="AE18" s="221">
        <f>1191542+1541507</f>
        <v>2733049</v>
      </c>
      <c r="AF18" s="210">
        <f t="shared" si="1"/>
        <v>1018951</v>
      </c>
      <c r="AG18" s="241" t="s">
        <v>735</v>
      </c>
      <c r="AH18" s="255" t="s">
        <v>734</v>
      </c>
      <c r="AI18" s="277">
        <f>1191542+1541507</f>
        <v>2733049</v>
      </c>
      <c r="AJ18" s="240">
        <f t="shared" si="2"/>
        <v>1018951</v>
      </c>
      <c r="AK18" s="241" t="s">
        <v>249</v>
      </c>
      <c r="AL18" s="245" t="s">
        <v>661</v>
      </c>
      <c r="AM18" s="386">
        <f>1191542+1541507</f>
        <v>2733049</v>
      </c>
      <c r="AN18" s="13" t="s">
        <v>557</v>
      </c>
      <c r="AQ18" s="402"/>
    </row>
    <row r="19" spans="1:43" ht="116.25" customHeight="1" x14ac:dyDescent="0.2">
      <c r="A19" s="186" t="s">
        <v>117</v>
      </c>
      <c r="B19" s="65" t="s">
        <v>179</v>
      </c>
      <c r="C19" s="67" t="s">
        <v>320</v>
      </c>
      <c r="D19" s="69" t="s">
        <v>118</v>
      </c>
      <c r="E19" s="5" t="s">
        <v>235</v>
      </c>
      <c r="F19" s="38" t="s">
        <v>237</v>
      </c>
      <c r="G19" s="40" t="s">
        <v>243</v>
      </c>
      <c r="H19" s="40" t="s">
        <v>229</v>
      </c>
      <c r="I19" s="38" t="s">
        <v>1</v>
      </c>
      <c r="J19" s="38" t="s">
        <v>1</v>
      </c>
      <c r="K19" s="38" t="s">
        <v>1</v>
      </c>
      <c r="L19" s="38" t="s">
        <v>1</v>
      </c>
      <c r="M19" s="38" t="s">
        <v>1</v>
      </c>
      <c r="N19" s="38" t="s">
        <v>45</v>
      </c>
      <c r="O19" s="187" t="s">
        <v>312</v>
      </c>
      <c r="P19" s="188">
        <v>0</v>
      </c>
      <c r="Q19" s="88">
        <v>0</v>
      </c>
      <c r="R19" s="88">
        <v>0</v>
      </c>
      <c r="S19" s="88" t="s">
        <v>313</v>
      </c>
      <c r="T19" s="88" t="s">
        <v>314</v>
      </c>
      <c r="U19" s="66" t="s">
        <v>541</v>
      </c>
      <c r="V19" s="66">
        <v>3846666</v>
      </c>
      <c r="W19" s="89" t="s">
        <v>178</v>
      </c>
      <c r="X19" s="66" t="s">
        <v>249</v>
      </c>
      <c r="Y19" s="66" t="s">
        <v>1</v>
      </c>
      <c r="Z19" s="285">
        <v>1200000</v>
      </c>
      <c r="AA19" s="66"/>
      <c r="AB19" s="285"/>
      <c r="AC19" s="158">
        <f>P19+Z19+AA19-AB19</f>
        <v>1200000</v>
      </c>
      <c r="AD19" s="396" t="s">
        <v>909</v>
      </c>
      <c r="AE19" s="361">
        <f>1062247</f>
        <v>1062247</v>
      </c>
      <c r="AF19" s="225">
        <f>+AC19-AE19</f>
        <v>137753</v>
      </c>
      <c r="AG19" s="243">
        <v>35123</v>
      </c>
      <c r="AH19" s="364">
        <v>45223</v>
      </c>
      <c r="AI19" s="361">
        <v>1062247</v>
      </c>
      <c r="AJ19" s="236">
        <f>+AC19-AI19</f>
        <v>137753</v>
      </c>
      <c r="AK19" s="243" t="s">
        <v>249</v>
      </c>
      <c r="AL19" s="228" t="s">
        <v>863</v>
      </c>
      <c r="AM19" s="366">
        <v>1062247</v>
      </c>
      <c r="AN19" s="13" t="s">
        <v>557</v>
      </c>
      <c r="AQ19" s="402"/>
    </row>
    <row r="20" spans="1:43" ht="116.25" customHeight="1" x14ac:dyDescent="0.2">
      <c r="A20" s="186" t="s">
        <v>117</v>
      </c>
      <c r="B20" s="65" t="s">
        <v>179</v>
      </c>
      <c r="C20" s="67" t="s">
        <v>320</v>
      </c>
      <c r="D20" s="69" t="s">
        <v>118</v>
      </c>
      <c r="E20" s="5" t="s">
        <v>235</v>
      </c>
      <c r="F20" s="38" t="s">
        <v>237</v>
      </c>
      <c r="G20" s="40" t="s">
        <v>243</v>
      </c>
      <c r="H20" s="40" t="s">
        <v>575</v>
      </c>
      <c r="I20" s="38" t="s">
        <v>1</v>
      </c>
      <c r="J20" s="38" t="s">
        <v>1</v>
      </c>
      <c r="K20" s="38" t="s">
        <v>1</v>
      </c>
      <c r="L20" s="38" t="s">
        <v>1</v>
      </c>
      <c r="M20" s="38" t="s">
        <v>1</v>
      </c>
      <c r="N20" s="38" t="s">
        <v>45</v>
      </c>
      <c r="O20" s="187" t="s">
        <v>385</v>
      </c>
      <c r="P20" s="188">
        <v>0</v>
      </c>
      <c r="Q20" s="88">
        <v>0</v>
      </c>
      <c r="R20" s="88">
        <v>0</v>
      </c>
      <c r="S20" s="88" t="s">
        <v>313</v>
      </c>
      <c r="T20" s="88" t="s">
        <v>314</v>
      </c>
      <c r="U20" s="66" t="s">
        <v>541</v>
      </c>
      <c r="V20" s="66">
        <v>3846666</v>
      </c>
      <c r="W20" s="89" t="s">
        <v>178</v>
      </c>
      <c r="X20" s="66" t="s">
        <v>249</v>
      </c>
      <c r="Y20" s="66" t="s">
        <v>1</v>
      </c>
      <c r="Z20" s="285">
        <v>3500000</v>
      </c>
      <c r="AA20" s="66"/>
      <c r="AB20" s="66"/>
      <c r="AC20" s="158">
        <f>P20+Z20+AA20-AB20</f>
        <v>3500000</v>
      </c>
      <c r="AD20" s="195" t="s">
        <v>805</v>
      </c>
      <c r="AE20" s="201">
        <f>925050+925050+794990+130060</f>
        <v>2775150</v>
      </c>
      <c r="AF20" s="210">
        <f>+AC20-AE20</f>
        <v>724850</v>
      </c>
      <c r="AG20" s="245" t="s">
        <v>807</v>
      </c>
      <c r="AH20" s="255" t="s">
        <v>808</v>
      </c>
      <c r="AI20" s="246">
        <f>925050+925050+925050</f>
        <v>2775150</v>
      </c>
      <c r="AJ20" s="240">
        <f>+AC20-AI20</f>
        <v>724850</v>
      </c>
      <c r="AK20" s="241" t="s">
        <v>837</v>
      </c>
      <c r="AL20" s="245" t="s">
        <v>760</v>
      </c>
      <c r="AM20" s="386">
        <f>925050+925050+925050</f>
        <v>2775150</v>
      </c>
      <c r="AN20" s="13" t="s">
        <v>557</v>
      </c>
      <c r="AQ20" s="402"/>
    </row>
    <row r="21" spans="1:43" ht="116.25" customHeight="1" x14ac:dyDescent="0.2">
      <c r="A21" s="186" t="s">
        <v>117</v>
      </c>
      <c r="B21" s="65" t="s">
        <v>179</v>
      </c>
      <c r="C21" s="67" t="s">
        <v>320</v>
      </c>
      <c r="D21" s="69" t="s">
        <v>118</v>
      </c>
      <c r="E21" s="5" t="s">
        <v>235</v>
      </c>
      <c r="F21" s="38" t="s">
        <v>237</v>
      </c>
      <c r="G21" s="40" t="s">
        <v>243</v>
      </c>
      <c r="H21" s="40" t="s">
        <v>575</v>
      </c>
      <c r="I21" s="38" t="s">
        <v>1</v>
      </c>
      <c r="J21" s="38" t="s">
        <v>1</v>
      </c>
      <c r="K21" s="38" t="s">
        <v>1</v>
      </c>
      <c r="L21" s="38" t="s">
        <v>1</v>
      </c>
      <c r="M21" s="38" t="s">
        <v>1</v>
      </c>
      <c r="N21" s="38" t="s">
        <v>45</v>
      </c>
      <c r="O21" s="187" t="s">
        <v>312</v>
      </c>
      <c r="P21" s="188">
        <v>0</v>
      </c>
      <c r="Q21" s="88">
        <v>0</v>
      </c>
      <c r="R21" s="88">
        <v>0</v>
      </c>
      <c r="S21" s="88" t="s">
        <v>313</v>
      </c>
      <c r="T21" s="88" t="s">
        <v>314</v>
      </c>
      <c r="U21" s="66" t="s">
        <v>541</v>
      </c>
      <c r="V21" s="66">
        <v>3846666</v>
      </c>
      <c r="W21" s="89" t="s">
        <v>178</v>
      </c>
      <c r="X21" s="66" t="s">
        <v>249</v>
      </c>
      <c r="Y21" s="66" t="s">
        <v>1</v>
      </c>
      <c r="Z21" s="285">
        <v>1200000</v>
      </c>
      <c r="AA21" s="66"/>
      <c r="AB21" s="66"/>
      <c r="AC21" s="158">
        <f>P21+Z21+AA21-AB21</f>
        <v>1200000</v>
      </c>
      <c r="AD21" s="195">
        <v>30923</v>
      </c>
      <c r="AE21" s="201">
        <v>925050</v>
      </c>
      <c r="AF21" s="210">
        <f>+AC21-AE21</f>
        <v>274950</v>
      </c>
      <c r="AG21" s="245">
        <v>35523</v>
      </c>
      <c r="AH21" s="255">
        <v>45229</v>
      </c>
      <c r="AI21" s="246">
        <v>925050</v>
      </c>
      <c r="AJ21" s="240">
        <f>+AC21-AI21</f>
        <v>274950</v>
      </c>
      <c r="AK21" s="241" t="s">
        <v>249</v>
      </c>
      <c r="AL21" s="245" t="s">
        <v>873</v>
      </c>
      <c r="AM21" s="386">
        <v>925050</v>
      </c>
      <c r="AN21" s="13" t="s">
        <v>815</v>
      </c>
      <c r="AQ21" s="402"/>
    </row>
    <row r="22" spans="1:43" ht="116.25" customHeight="1" x14ac:dyDescent="0.2">
      <c r="A22" s="186" t="s">
        <v>117</v>
      </c>
      <c r="B22" s="65" t="s">
        <v>179</v>
      </c>
      <c r="C22" s="67" t="s">
        <v>320</v>
      </c>
      <c r="D22" s="69" t="s">
        <v>118</v>
      </c>
      <c r="E22" s="5" t="s">
        <v>235</v>
      </c>
      <c r="F22" s="38" t="s">
        <v>237</v>
      </c>
      <c r="G22" s="40" t="s">
        <v>243</v>
      </c>
      <c r="H22" s="40" t="s">
        <v>233</v>
      </c>
      <c r="I22" s="38" t="s">
        <v>1</v>
      </c>
      <c r="J22" s="38" t="s">
        <v>1</v>
      </c>
      <c r="K22" s="38" t="s">
        <v>1</v>
      </c>
      <c r="L22" s="38" t="s">
        <v>1</v>
      </c>
      <c r="M22" s="38" t="s">
        <v>1</v>
      </c>
      <c r="N22" s="38" t="s">
        <v>45</v>
      </c>
      <c r="O22" s="187" t="s">
        <v>312</v>
      </c>
      <c r="P22" s="188">
        <v>2960000</v>
      </c>
      <c r="Q22" s="88">
        <v>0</v>
      </c>
      <c r="R22" s="88">
        <v>0</v>
      </c>
      <c r="S22" s="88" t="s">
        <v>313</v>
      </c>
      <c r="T22" s="88" t="s">
        <v>314</v>
      </c>
      <c r="U22" s="66" t="s">
        <v>541</v>
      </c>
      <c r="V22" s="66">
        <v>3846666</v>
      </c>
      <c r="W22" s="89" t="s">
        <v>178</v>
      </c>
      <c r="X22" s="66" t="s">
        <v>251</v>
      </c>
      <c r="Y22" s="66" t="s">
        <v>1</v>
      </c>
      <c r="Z22" s="66"/>
      <c r="AA22" s="66"/>
      <c r="AB22" s="285">
        <v>1200000</v>
      </c>
      <c r="AC22" s="158">
        <f t="shared" si="0"/>
        <v>1760000</v>
      </c>
      <c r="AD22" s="223" t="s">
        <v>910</v>
      </c>
      <c r="AE22" s="399">
        <f>260000+160000+280000+80000+80000+380000+140000</f>
        <v>1380000</v>
      </c>
      <c r="AF22" s="210">
        <f t="shared" si="1"/>
        <v>380000</v>
      </c>
      <c r="AG22" s="245" t="s">
        <v>874</v>
      </c>
      <c r="AH22" s="255" t="s">
        <v>875</v>
      </c>
      <c r="AI22" s="277">
        <f>260000+160000+280000+80000+80000+140000+380000</f>
        <v>1380000</v>
      </c>
      <c r="AJ22" s="240">
        <f t="shared" si="2"/>
        <v>380000</v>
      </c>
      <c r="AK22" s="245" t="s">
        <v>518</v>
      </c>
      <c r="AL22" s="245" t="s">
        <v>876</v>
      </c>
      <c r="AM22" s="386">
        <f>260000+280000+160000+80000+80000+140000+380000</f>
        <v>1380000</v>
      </c>
      <c r="AN22" s="13" t="s">
        <v>815</v>
      </c>
      <c r="AQ22" s="402"/>
    </row>
    <row r="23" spans="1:43" ht="116.25" customHeight="1" x14ac:dyDescent="0.2">
      <c r="A23" s="186" t="s">
        <v>117</v>
      </c>
      <c r="B23" s="65" t="s">
        <v>179</v>
      </c>
      <c r="C23" s="67" t="s">
        <v>320</v>
      </c>
      <c r="D23" s="69" t="s">
        <v>118</v>
      </c>
      <c r="E23" s="5" t="s">
        <v>235</v>
      </c>
      <c r="F23" s="38" t="s">
        <v>237</v>
      </c>
      <c r="G23" s="40" t="s">
        <v>243</v>
      </c>
      <c r="H23" s="40" t="s">
        <v>119</v>
      </c>
      <c r="I23" s="38">
        <v>78111502</v>
      </c>
      <c r="J23" s="38">
        <v>3</v>
      </c>
      <c r="K23" s="38">
        <v>3</v>
      </c>
      <c r="L23" s="38">
        <v>9</v>
      </c>
      <c r="M23" s="38">
        <v>1</v>
      </c>
      <c r="N23" s="38" t="s">
        <v>25</v>
      </c>
      <c r="O23" s="187" t="s">
        <v>312</v>
      </c>
      <c r="P23" s="188">
        <v>6000000</v>
      </c>
      <c r="Q23" s="88">
        <v>0</v>
      </c>
      <c r="R23" s="88">
        <v>0</v>
      </c>
      <c r="S23" s="88" t="s">
        <v>313</v>
      </c>
      <c r="T23" s="88" t="s">
        <v>314</v>
      </c>
      <c r="U23" s="66" t="s">
        <v>541</v>
      </c>
      <c r="V23" s="66">
        <v>3846666</v>
      </c>
      <c r="W23" s="89" t="s">
        <v>178</v>
      </c>
      <c r="X23" s="66" t="s">
        <v>250</v>
      </c>
      <c r="Y23" s="66" t="s">
        <v>41</v>
      </c>
      <c r="Z23" s="66"/>
      <c r="AA23" s="66"/>
      <c r="AB23" s="66"/>
      <c r="AC23" s="158">
        <f t="shared" si="0"/>
        <v>6000000</v>
      </c>
      <c r="AD23" s="195">
        <v>13423</v>
      </c>
      <c r="AE23" s="211">
        <v>6000000</v>
      </c>
      <c r="AF23" s="210">
        <f t="shared" si="1"/>
        <v>0</v>
      </c>
      <c r="AG23" s="241">
        <v>17523</v>
      </c>
      <c r="AH23" s="244">
        <v>45076</v>
      </c>
      <c r="AI23" s="331">
        <v>6000000</v>
      </c>
      <c r="AJ23" s="240">
        <f t="shared" si="2"/>
        <v>0</v>
      </c>
      <c r="AK23" s="241" t="s">
        <v>604</v>
      </c>
      <c r="AL23" s="245" t="s">
        <v>605</v>
      </c>
      <c r="AM23" s="371">
        <v>6000000</v>
      </c>
      <c r="AN23" s="12"/>
      <c r="AQ23" s="402"/>
    </row>
    <row r="24" spans="1:43" ht="218.25" customHeight="1" x14ac:dyDescent="0.2">
      <c r="A24" s="186" t="s">
        <v>117</v>
      </c>
      <c r="B24" s="65" t="s">
        <v>179</v>
      </c>
      <c r="C24" s="67" t="s">
        <v>320</v>
      </c>
      <c r="D24" s="69" t="s">
        <v>118</v>
      </c>
      <c r="E24" s="5" t="s">
        <v>235</v>
      </c>
      <c r="F24" s="38" t="s">
        <v>237</v>
      </c>
      <c r="G24" s="40" t="s">
        <v>243</v>
      </c>
      <c r="H24" s="40" t="s">
        <v>463</v>
      </c>
      <c r="I24" s="38">
        <v>80111600</v>
      </c>
      <c r="J24" s="38" t="s">
        <v>457</v>
      </c>
      <c r="K24" s="38" t="s">
        <v>457</v>
      </c>
      <c r="L24" s="38" t="s">
        <v>465</v>
      </c>
      <c r="M24" s="38">
        <v>1</v>
      </c>
      <c r="N24" s="38" t="s">
        <v>25</v>
      </c>
      <c r="O24" s="187" t="s">
        <v>312</v>
      </c>
      <c r="P24" s="188">
        <f>3318115*11</f>
        <v>36499265</v>
      </c>
      <c r="Q24" s="88">
        <v>0</v>
      </c>
      <c r="R24" s="88">
        <v>0</v>
      </c>
      <c r="S24" s="88" t="s">
        <v>313</v>
      </c>
      <c r="T24" s="88" t="s">
        <v>314</v>
      </c>
      <c r="U24" s="66" t="s">
        <v>541</v>
      </c>
      <c r="V24" s="66">
        <v>3846666</v>
      </c>
      <c r="W24" s="89" t="s">
        <v>178</v>
      </c>
      <c r="X24" s="66" t="s">
        <v>169</v>
      </c>
      <c r="Y24" s="66" t="s">
        <v>464</v>
      </c>
      <c r="Z24" s="66"/>
      <c r="AA24" s="66"/>
      <c r="AB24" s="285">
        <v>17524794</v>
      </c>
      <c r="AC24" s="158">
        <f t="shared" si="0"/>
        <v>18974471</v>
      </c>
      <c r="AD24" s="195" t="s">
        <v>687</v>
      </c>
      <c r="AE24" s="211">
        <f>6663276+12438114-63460-63459</f>
        <v>18974471</v>
      </c>
      <c r="AF24" s="210">
        <f t="shared" si="1"/>
        <v>0</v>
      </c>
      <c r="AG24" s="237" t="s">
        <v>705</v>
      </c>
      <c r="AH24" s="238" t="s">
        <v>706</v>
      </c>
      <c r="AI24" s="239">
        <f>6599816+12374655</f>
        <v>18974471</v>
      </c>
      <c r="AJ24" s="240">
        <f t="shared" si="2"/>
        <v>0</v>
      </c>
      <c r="AK24" s="245" t="s">
        <v>707</v>
      </c>
      <c r="AL24" s="242" t="s">
        <v>478</v>
      </c>
      <c r="AM24" s="373">
        <f>888437+1903793+1903793+1903793+951897+1903793+1903793+1903793+1903793+1903793+1903793</f>
        <v>18974471</v>
      </c>
      <c r="AN24" s="11" t="s">
        <v>560</v>
      </c>
      <c r="AQ24" s="402"/>
    </row>
    <row r="25" spans="1:43" ht="116.25" customHeight="1" x14ac:dyDescent="0.2">
      <c r="A25" s="186" t="s">
        <v>117</v>
      </c>
      <c r="B25" s="65" t="s">
        <v>179</v>
      </c>
      <c r="C25" s="67" t="s">
        <v>320</v>
      </c>
      <c r="D25" s="70" t="s">
        <v>118</v>
      </c>
      <c r="E25" s="32" t="s">
        <v>235</v>
      </c>
      <c r="F25" s="40" t="s">
        <v>237</v>
      </c>
      <c r="G25" s="40" t="s">
        <v>243</v>
      </c>
      <c r="H25" s="40" t="s">
        <v>602</v>
      </c>
      <c r="I25" s="40">
        <v>80111600</v>
      </c>
      <c r="J25" s="40">
        <v>6</v>
      </c>
      <c r="K25" s="40">
        <v>6</v>
      </c>
      <c r="L25" s="40">
        <v>203</v>
      </c>
      <c r="M25" s="40">
        <v>0</v>
      </c>
      <c r="N25" s="40" t="s">
        <v>25</v>
      </c>
      <c r="O25" s="187" t="s">
        <v>312</v>
      </c>
      <c r="P25" s="188">
        <v>0</v>
      </c>
      <c r="Q25" s="88">
        <v>0</v>
      </c>
      <c r="R25" s="88">
        <v>0</v>
      </c>
      <c r="S25" s="88" t="s">
        <v>313</v>
      </c>
      <c r="T25" s="88" t="s">
        <v>314</v>
      </c>
      <c r="U25" s="40" t="s">
        <v>541</v>
      </c>
      <c r="V25" s="40">
        <v>3846666</v>
      </c>
      <c r="W25" s="336" t="s">
        <v>178</v>
      </c>
      <c r="X25" s="40" t="s">
        <v>169</v>
      </c>
      <c r="Y25" s="66" t="s">
        <v>464</v>
      </c>
      <c r="Z25" s="285">
        <v>21114187</v>
      </c>
      <c r="AA25" s="66"/>
      <c r="AB25" s="285">
        <v>926964</v>
      </c>
      <c r="AC25" s="158">
        <f>P25+Z25+AA25-AB25</f>
        <v>20187223</v>
      </c>
      <c r="AD25" s="195">
        <v>19123</v>
      </c>
      <c r="AE25" s="211">
        <f>20805198-617975</f>
        <v>20187223</v>
      </c>
      <c r="AF25" s="210">
        <f>+AC25-AE25</f>
        <v>0</v>
      </c>
      <c r="AG25" s="241">
        <v>21423</v>
      </c>
      <c r="AH25" s="244">
        <v>45092</v>
      </c>
      <c r="AI25" s="288">
        <v>20187223</v>
      </c>
      <c r="AJ25" s="240">
        <f>+AC25-AI25</f>
        <v>0</v>
      </c>
      <c r="AK25" s="241" t="s">
        <v>700</v>
      </c>
      <c r="AL25" s="241" t="s">
        <v>701</v>
      </c>
      <c r="AM25" s="373">
        <f>1647937+3089881+3089881+3089881+3089881+3089881+3089881</f>
        <v>20187223</v>
      </c>
      <c r="AN25" s="13" t="s">
        <v>557</v>
      </c>
      <c r="AQ25" s="402"/>
    </row>
    <row r="26" spans="1:43" ht="116.25" customHeight="1" x14ac:dyDescent="0.2">
      <c r="A26" s="186" t="s">
        <v>117</v>
      </c>
      <c r="B26" s="65" t="s">
        <v>179</v>
      </c>
      <c r="C26" s="67" t="s">
        <v>320</v>
      </c>
      <c r="D26" s="70" t="s">
        <v>118</v>
      </c>
      <c r="E26" s="32" t="s">
        <v>235</v>
      </c>
      <c r="F26" s="28" t="s">
        <v>237</v>
      </c>
      <c r="G26" s="28" t="s">
        <v>244</v>
      </c>
      <c r="H26" s="28" t="s">
        <v>232</v>
      </c>
      <c r="I26" s="28">
        <v>80111600</v>
      </c>
      <c r="J26" s="28">
        <v>1</v>
      </c>
      <c r="K26" s="28">
        <v>1</v>
      </c>
      <c r="L26" s="28">
        <v>11</v>
      </c>
      <c r="M26" s="28">
        <v>1</v>
      </c>
      <c r="N26" s="28" t="s">
        <v>25</v>
      </c>
      <c r="O26" s="187" t="s">
        <v>312</v>
      </c>
      <c r="P26" s="189">
        <f>3318115*11</f>
        <v>36499265</v>
      </c>
      <c r="Q26" s="134">
        <v>0</v>
      </c>
      <c r="R26" s="134">
        <v>0</v>
      </c>
      <c r="S26" s="134" t="s">
        <v>313</v>
      </c>
      <c r="T26" s="134" t="s">
        <v>314</v>
      </c>
      <c r="U26" s="28" t="s">
        <v>541</v>
      </c>
      <c r="V26" s="28">
        <v>3846666</v>
      </c>
      <c r="W26" s="136" t="s">
        <v>178</v>
      </c>
      <c r="X26" s="28" t="s">
        <v>496</v>
      </c>
      <c r="Y26" s="135" t="s">
        <v>464</v>
      </c>
      <c r="Z26" s="135"/>
      <c r="AA26" s="135"/>
      <c r="AB26" s="359">
        <f>21114187+15385078</f>
        <v>36499265</v>
      </c>
      <c r="AC26" s="159">
        <f t="shared" si="0"/>
        <v>0</v>
      </c>
      <c r="AD26" s="226"/>
      <c r="AE26" s="226"/>
      <c r="AF26" s="225">
        <f t="shared" si="1"/>
        <v>0</v>
      </c>
      <c r="AG26" s="243"/>
      <c r="AH26" s="243"/>
      <c r="AI26" s="287"/>
      <c r="AJ26" s="236">
        <f t="shared" si="2"/>
        <v>0</v>
      </c>
      <c r="AK26" s="243"/>
      <c r="AL26" s="243"/>
      <c r="AM26" s="337"/>
      <c r="AN26" s="13" t="s">
        <v>557</v>
      </c>
      <c r="AQ26" s="402"/>
    </row>
    <row r="27" spans="1:43" ht="116.25" customHeight="1" x14ac:dyDescent="0.2">
      <c r="A27" s="186" t="s">
        <v>117</v>
      </c>
      <c r="B27" s="65" t="s">
        <v>179</v>
      </c>
      <c r="C27" s="67" t="s">
        <v>320</v>
      </c>
      <c r="D27" s="69" t="s">
        <v>118</v>
      </c>
      <c r="E27" s="5" t="s">
        <v>235</v>
      </c>
      <c r="F27" s="86" t="s">
        <v>238</v>
      </c>
      <c r="G27" s="41" t="s">
        <v>245</v>
      </c>
      <c r="H27" s="41" t="s">
        <v>234</v>
      </c>
      <c r="I27" s="86">
        <v>80111600</v>
      </c>
      <c r="J27" s="86">
        <v>1</v>
      </c>
      <c r="K27" s="86">
        <v>1</v>
      </c>
      <c r="L27" s="86">
        <v>11</v>
      </c>
      <c r="M27" s="86">
        <v>1</v>
      </c>
      <c r="N27" s="86" t="s">
        <v>25</v>
      </c>
      <c r="O27" s="187" t="s">
        <v>312</v>
      </c>
      <c r="P27" s="188">
        <f>3318115*11</f>
        <v>36499265</v>
      </c>
      <c r="Q27" s="91">
        <v>0</v>
      </c>
      <c r="R27" s="91">
        <v>0</v>
      </c>
      <c r="S27" s="91" t="s">
        <v>313</v>
      </c>
      <c r="T27" s="91" t="s">
        <v>314</v>
      </c>
      <c r="U27" s="92" t="s">
        <v>541</v>
      </c>
      <c r="V27" s="92">
        <v>3846666</v>
      </c>
      <c r="W27" s="93" t="s">
        <v>178</v>
      </c>
      <c r="X27" s="92" t="s">
        <v>496</v>
      </c>
      <c r="Y27" s="92" t="s">
        <v>825</v>
      </c>
      <c r="Z27" s="92"/>
      <c r="AA27" s="92"/>
      <c r="AB27" s="262">
        <f>1000000+35499265</f>
        <v>36499265</v>
      </c>
      <c r="AC27" s="156">
        <f t="shared" si="0"/>
        <v>0</v>
      </c>
      <c r="AD27" s="226"/>
      <c r="AE27" s="226"/>
      <c r="AF27" s="225">
        <f t="shared" si="1"/>
        <v>0</v>
      </c>
      <c r="AG27" s="243"/>
      <c r="AH27" s="243"/>
      <c r="AI27" s="287"/>
      <c r="AJ27" s="236">
        <f t="shared" si="2"/>
        <v>0</v>
      </c>
      <c r="AK27" s="243"/>
      <c r="AL27" s="243"/>
      <c r="AM27" s="337"/>
      <c r="AN27" s="13" t="s">
        <v>557</v>
      </c>
      <c r="AQ27" s="402"/>
    </row>
    <row r="28" spans="1:43" ht="116.25" customHeight="1" x14ac:dyDescent="0.2">
      <c r="A28" s="186" t="s">
        <v>117</v>
      </c>
      <c r="B28" s="65" t="s">
        <v>179</v>
      </c>
      <c r="C28" s="67" t="s">
        <v>320</v>
      </c>
      <c r="D28" s="69" t="s">
        <v>118</v>
      </c>
      <c r="E28" s="5" t="s">
        <v>235</v>
      </c>
      <c r="F28" s="86" t="s">
        <v>238</v>
      </c>
      <c r="G28" s="41" t="s">
        <v>245</v>
      </c>
      <c r="H28" s="41" t="s">
        <v>234</v>
      </c>
      <c r="I28" s="86">
        <v>80111600</v>
      </c>
      <c r="J28" s="86">
        <v>1</v>
      </c>
      <c r="K28" s="86">
        <v>1</v>
      </c>
      <c r="L28" s="86">
        <v>11</v>
      </c>
      <c r="M28" s="86">
        <v>1</v>
      </c>
      <c r="N28" s="86" t="s">
        <v>25</v>
      </c>
      <c r="O28" s="187" t="s">
        <v>312</v>
      </c>
      <c r="P28" s="188">
        <f>3318115*11</f>
        <v>36499265</v>
      </c>
      <c r="Q28" s="91">
        <v>0</v>
      </c>
      <c r="R28" s="91">
        <v>0</v>
      </c>
      <c r="S28" s="91" t="s">
        <v>313</v>
      </c>
      <c r="T28" s="91" t="s">
        <v>314</v>
      </c>
      <c r="U28" s="92" t="s">
        <v>541</v>
      </c>
      <c r="V28" s="92">
        <v>3846666</v>
      </c>
      <c r="W28" s="93" t="s">
        <v>178</v>
      </c>
      <c r="X28" s="92" t="s">
        <v>496</v>
      </c>
      <c r="Y28" s="92" t="s">
        <v>825</v>
      </c>
      <c r="Z28" s="92"/>
      <c r="AA28" s="92"/>
      <c r="AB28" s="262">
        <v>36499265</v>
      </c>
      <c r="AC28" s="156">
        <f t="shared" si="0"/>
        <v>0</v>
      </c>
      <c r="AD28" s="226"/>
      <c r="AE28" s="226"/>
      <c r="AF28" s="225">
        <f t="shared" si="1"/>
        <v>0</v>
      </c>
      <c r="AG28" s="243"/>
      <c r="AH28" s="243"/>
      <c r="AI28" s="287"/>
      <c r="AJ28" s="236">
        <f t="shared" si="2"/>
        <v>0</v>
      </c>
      <c r="AK28" s="243"/>
      <c r="AL28" s="243"/>
      <c r="AM28" s="337"/>
      <c r="AN28" s="13" t="s">
        <v>557</v>
      </c>
      <c r="AQ28" s="402"/>
    </row>
    <row r="29" spans="1:43" ht="116.25" customHeight="1" x14ac:dyDescent="0.2">
      <c r="A29" s="186" t="s">
        <v>117</v>
      </c>
      <c r="B29" s="65" t="s">
        <v>179</v>
      </c>
      <c r="C29" s="67" t="s">
        <v>320</v>
      </c>
      <c r="D29" s="69" t="s">
        <v>118</v>
      </c>
      <c r="E29" s="5" t="s">
        <v>235</v>
      </c>
      <c r="F29" s="86" t="s">
        <v>238</v>
      </c>
      <c r="G29" s="41" t="s">
        <v>245</v>
      </c>
      <c r="H29" s="41" t="s">
        <v>229</v>
      </c>
      <c r="I29" s="86" t="s">
        <v>1</v>
      </c>
      <c r="J29" s="86" t="s">
        <v>1</v>
      </c>
      <c r="K29" s="86" t="s">
        <v>1</v>
      </c>
      <c r="L29" s="86" t="s">
        <v>1</v>
      </c>
      <c r="M29" s="86" t="s">
        <v>1</v>
      </c>
      <c r="N29" s="86" t="s">
        <v>45</v>
      </c>
      <c r="O29" s="187" t="s">
        <v>385</v>
      </c>
      <c r="P29" s="188">
        <v>14504000</v>
      </c>
      <c r="Q29" s="91">
        <v>0</v>
      </c>
      <c r="R29" s="91">
        <v>0</v>
      </c>
      <c r="S29" s="91" t="s">
        <v>313</v>
      </c>
      <c r="T29" s="91" t="s">
        <v>314</v>
      </c>
      <c r="U29" s="92" t="s">
        <v>541</v>
      </c>
      <c r="V29" s="92">
        <v>3846666</v>
      </c>
      <c r="W29" s="93" t="s">
        <v>178</v>
      </c>
      <c r="X29" s="92" t="s">
        <v>249</v>
      </c>
      <c r="Y29" s="92" t="s">
        <v>1</v>
      </c>
      <c r="Z29" s="92"/>
      <c r="AA29" s="92"/>
      <c r="AB29" s="92"/>
      <c r="AC29" s="156">
        <f t="shared" si="0"/>
        <v>14504000</v>
      </c>
      <c r="AD29" s="223" t="s">
        <v>899</v>
      </c>
      <c r="AE29" s="211">
        <f>891752+693585-693585+891752+1046021+1046021+152929+135492+794990+1198950+1198950+454280-1198950+1541507-1541507+856393+856393+135737+74320+1198950+925050</f>
        <v>10659030</v>
      </c>
      <c r="AF29" s="210">
        <f t="shared" si="1"/>
        <v>3844970</v>
      </c>
      <c r="AG29" s="245" t="s">
        <v>887</v>
      </c>
      <c r="AH29" s="255" t="s">
        <v>888</v>
      </c>
      <c r="AI29" s="246">
        <f>891752+891752+1046021+1046021+152929+135492+794990+1198950+856393+528600+135737+856393+1198950+925050</f>
        <v>10659030</v>
      </c>
      <c r="AJ29" s="240">
        <f t="shared" si="2"/>
        <v>3844970</v>
      </c>
      <c r="AK29" s="241" t="s">
        <v>249</v>
      </c>
      <c r="AL29" s="245" t="s">
        <v>889</v>
      </c>
      <c r="AM29" s="373">
        <f>891752+891752+1046021+1046021+152929+135492+925050+1198950+794990+1198950+135737+856393+528600+856393</f>
        <v>10659030</v>
      </c>
      <c r="AN29" s="12"/>
      <c r="AQ29" s="402"/>
    </row>
    <row r="30" spans="1:43" ht="116.25" customHeight="1" x14ac:dyDescent="0.2">
      <c r="A30" s="186" t="s">
        <v>117</v>
      </c>
      <c r="B30" s="65" t="s">
        <v>179</v>
      </c>
      <c r="C30" s="67" t="s">
        <v>320</v>
      </c>
      <c r="D30" s="69" t="s">
        <v>118</v>
      </c>
      <c r="E30" s="5" t="s">
        <v>235</v>
      </c>
      <c r="F30" s="86" t="s">
        <v>238</v>
      </c>
      <c r="G30" s="41" t="s">
        <v>245</v>
      </c>
      <c r="H30" s="41" t="s">
        <v>229</v>
      </c>
      <c r="I30" s="86" t="s">
        <v>1</v>
      </c>
      <c r="J30" s="86" t="s">
        <v>1</v>
      </c>
      <c r="K30" s="86" t="s">
        <v>1</v>
      </c>
      <c r="L30" s="86" t="s">
        <v>1</v>
      </c>
      <c r="M30" s="86" t="s">
        <v>1</v>
      </c>
      <c r="N30" s="86" t="s">
        <v>45</v>
      </c>
      <c r="O30" s="187" t="s">
        <v>312</v>
      </c>
      <c r="P30" s="188">
        <v>0</v>
      </c>
      <c r="Q30" s="91">
        <v>0</v>
      </c>
      <c r="R30" s="91">
        <v>0</v>
      </c>
      <c r="S30" s="91" t="s">
        <v>313</v>
      </c>
      <c r="T30" s="91" t="s">
        <v>314</v>
      </c>
      <c r="U30" s="92" t="s">
        <v>541</v>
      </c>
      <c r="V30" s="92">
        <v>3846666</v>
      </c>
      <c r="W30" s="93" t="s">
        <v>178</v>
      </c>
      <c r="X30" s="92" t="s">
        <v>249</v>
      </c>
      <c r="Y30" s="92" t="s">
        <v>1</v>
      </c>
      <c r="Z30" s="262">
        <v>1000000</v>
      </c>
      <c r="AA30" s="92"/>
      <c r="AB30" s="92"/>
      <c r="AC30" s="156">
        <f>P30+Z30+AA30-AB30</f>
        <v>1000000</v>
      </c>
      <c r="AD30" s="329">
        <v>31123</v>
      </c>
      <c r="AE30" s="363">
        <v>925050</v>
      </c>
      <c r="AF30" s="225">
        <f>+AC30-AE30</f>
        <v>74950</v>
      </c>
      <c r="AG30" s="228">
        <v>35723</v>
      </c>
      <c r="AH30" s="364">
        <v>45229</v>
      </c>
      <c r="AI30" s="287">
        <v>925050</v>
      </c>
      <c r="AJ30" s="236">
        <f>+AC30-AI30</f>
        <v>74950</v>
      </c>
      <c r="AK30" s="243" t="s">
        <v>249</v>
      </c>
      <c r="AL30" s="228" t="s">
        <v>877</v>
      </c>
      <c r="AM30" s="342">
        <v>925050</v>
      </c>
      <c r="AN30" s="13" t="s">
        <v>557</v>
      </c>
      <c r="AQ30" s="402"/>
    </row>
    <row r="31" spans="1:43" ht="116.25" customHeight="1" x14ac:dyDescent="0.2">
      <c r="A31" s="186" t="s">
        <v>117</v>
      </c>
      <c r="B31" s="65" t="s">
        <v>179</v>
      </c>
      <c r="C31" s="67" t="s">
        <v>320</v>
      </c>
      <c r="D31" s="69" t="s">
        <v>118</v>
      </c>
      <c r="E31" s="5" t="s">
        <v>235</v>
      </c>
      <c r="F31" s="86" t="s">
        <v>238</v>
      </c>
      <c r="G31" s="41" t="s">
        <v>245</v>
      </c>
      <c r="H31" s="41" t="s">
        <v>230</v>
      </c>
      <c r="I31" s="86" t="s">
        <v>1</v>
      </c>
      <c r="J31" s="86" t="s">
        <v>1</v>
      </c>
      <c r="K31" s="86" t="s">
        <v>1</v>
      </c>
      <c r="L31" s="86" t="s">
        <v>1</v>
      </c>
      <c r="M31" s="86" t="s">
        <v>1</v>
      </c>
      <c r="N31" s="86" t="s">
        <v>45</v>
      </c>
      <c r="O31" s="187" t="s">
        <v>312</v>
      </c>
      <c r="P31" s="188">
        <v>2101000</v>
      </c>
      <c r="Q31" s="91">
        <v>0</v>
      </c>
      <c r="R31" s="91">
        <v>0</v>
      </c>
      <c r="S31" s="91" t="s">
        <v>313</v>
      </c>
      <c r="T31" s="91" t="s">
        <v>314</v>
      </c>
      <c r="U31" s="92" t="s">
        <v>541</v>
      </c>
      <c r="V31" s="92">
        <v>3846666</v>
      </c>
      <c r="W31" s="93" t="s">
        <v>178</v>
      </c>
      <c r="X31" s="92" t="s">
        <v>251</v>
      </c>
      <c r="Y31" s="92" t="s">
        <v>1</v>
      </c>
      <c r="Z31" s="92"/>
      <c r="AA31" s="92"/>
      <c r="AB31" s="92"/>
      <c r="AC31" s="156">
        <f t="shared" si="0"/>
        <v>2101000</v>
      </c>
      <c r="AD31" s="223" t="s">
        <v>900</v>
      </c>
      <c r="AE31" s="211">
        <f>150000+120000-120000+120000+210000+215000+210000+80000+80000+28000-80000+80000-80000+200000+80000+140000+235000+112000+34000</f>
        <v>1814000</v>
      </c>
      <c r="AF31" s="210">
        <f t="shared" si="1"/>
        <v>287000</v>
      </c>
      <c r="AG31" s="245" t="s">
        <v>911</v>
      </c>
      <c r="AH31" s="255" t="s">
        <v>912</v>
      </c>
      <c r="AI31" s="246">
        <f>150000+120000+210000+215000+210000+80000+80000+28000+200000+140000+235000+112000+34000</f>
        <v>1814000</v>
      </c>
      <c r="AJ31" s="240">
        <f t="shared" si="2"/>
        <v>287000</v>
      </c>
      <c r="AK31" s="245" t="s">
        <v>518</v>
      </c>
      <c r="AL31" s="245" t="s">
        <v>913</v>
      </c>
      <c r="AM31" s="373">
        <f>150000+120000+210000+215000+112000+235000+34000+210000+80000+80000+28000+200000+140000</f>
        <v>1814000</v>
      </c>
      <c r="AN31" s="12"/>
      <c r="AP31" s="402"/>
      <c r="AQ31" s="402"/>
    </row>
    <row r="32" spans="1:43" ht="116.25" customHeight="1" x14ac:dyDescent="0.2">
      <c r="A32" s="186" t="s">
        <v>117</v>
      </c>
      <c r="B32" s="65" t="s">
        <v>179</v>
      </c>
      <c r="C32" s="67" t="s">
        <v>320</v>
      </c>
      <c r="D32" s="69" t="s">
        <v>118</v>
      </c>
      <c r="E32" s="5" t="s">
        <v>235</v>
      </c>
      <c r="F32" s="86" t="s">
        <v>238</v>
      </c>
      <c r="G32" s="41" t="s">
        <v>245</v>
      </c>
      <c r="H32" s="41" t="s">
        <v>119</v>
      </c>
      <c r="I32" s="86">
        <v>78111502</v>
      </c>
      <c r="J32" s="86">
        <v>3</v>
      </c>
      <c r="K32" s="86">
        <v>3</v>
      </c>
      <c r="L32" s="86">
        <v>9</v>
      </c>
      <c r="M32" s="86">
        <v>1</v>
      </c>
      <c r="N32" s="86" t="s">
        <v>25</v>
      </c>
      <c r="O32" s="187" t="s">
        <v>312</v>
      </c>
      <c r="P32" s="188">
        <v>9750000</v>
      </c>
      <c r="Q32" s="91">
        <v>0</v>
      </c>
      <c r="R32" s="91">
        <v>0</v>
      </c>
      <c r="S32" s="91" t="s">
        <v>313</v>
      </c>
      <c r="T32" s="91" t="s">
        <v>314</v>
      </c>
      <c r="U32" s="92" t="s">
        <v>541</v>
      </c>
      <c r="V32" s="92">
        <v>3846666</v>
      </c>
      <c r="W32" s="93" t="s">
        <v>178</v>
      </c>
      <c r="X32" s="92" t="s">
        <v>250</v>
      </c>
      <c r="Y32" s="92" t="s">
        <v>41</v>
      </c>
      <c r="Z32" s="92"/>
      <c r="AA32" s="92"/>
      <c r="AB32" s="92"/>
      <c r="AC32" s="156">
        <f t="shared" si="0"/>
        <v>9750000</v>
      </c>
      <c r="AD32" s="195">
        <v>13423</v>
      </c>
      <c r="AE32" s="211">
        <v>9750000</v>
      </c>
      <c r="AF32" s="210">
        <f t="shared" si="1"/>
        <v>0</v>
      </c>
      <c r="AG32" s="241">
        <v>17523</v>
      </c>
      <c r="AH32" s="244">
        <v>45076</v>
      </c>
      <c r="AI32" s="331">
        <v>9750000</v>
      </c>
      <c r="AJ32" s="240">
        <f t="shared" si="2"/>
        <v>0</v>
      </c>
      <c r="AK32" s="241" t="s">
        <v>604</v>
      </c>
      <c r="AL32" s="245" t="s">
        <v>605</v>
      </c>
      <c r="AM32" s="371">
        <f>4298135+5451865</f>
        <v>9750000</v>
      </c>
      <c r="AN32" s="12"/>
      <c r="AO32" s="402"/>
      <c r="AQ32" s="402"/>
    </row>
    <row r="33" spans="1:43" ht="116.25" customHeight="1" x14ac:dyDescent="0.2">
      <c r="A33" s="186" t="s">
        <v>117</v>
      </c>
      <c r="B33" s="65" t="s">
        <v>179</v>
      </c>
      <c r="C33" s="67" t="s">
        <v>320</v>
      </c>
      <c r="D33" s="69" t="s">
        <v>118</v>
      </c>
      <c r="E33" s="4" t="s">
        <v>239</v>
      </c>
      <c r="F33" s="18" t="s">
        <v>239</v>
      </c>
      <c r="G33" s="94" t="s">
        <v>319</v>
      </c>
      <c r="H33" s="23" t="s">
        <v>252</v>
      </c>
      <c r="I33" s="24">
        <v>80111600</v>
      </c>
      <c r="J33" s="26">
        <v>1</v>
      </c>
      <c r="K33" s="26">
        <v>1</v>
      </c>
      <c r="L33" s="26">
        <v>11</v>
      </c>
      <c r="M33" s="26">
        <v>1</v>
      </c>
      <c r="N33" s="24" t="s">
        <v>25</v>
      </c>
      <c r="O33" s="187" t="s">
        <v>312</v>
      </c>
      <c r="P33" s="188">
        <f>(3219000*1.06)*11</f>
        <v>37533540</v>
      </c>
      <c r="Q33" s="39">
        <v>0</v>
      </c>
      <c r="R33" s="39">
        <v>0</v>
      </c>
      <c r="S33" s="39" t="s">
        <v>313</v>
      </c>
      <c r="T33" s="39" t="s">
        <v>314</v>
      </c>
      <c r="U33" s="24" t="s">
        <v>257</v>
      </c>
      <c r="V33" s="24">
        <v>3846666</v>
      </c>
      <c r="W33" s="27" t="s">
        <v>258</v>
      </c>
      <c r="X33" s="24" t="s">
        <v>496</v>
      </c>
      <c r="Y33" s="24" t="s">
        <v>387</v>
      </c>
      <c r="Z33" s="24"/>
      <c r="AA33" s="24"/>
      <c r="AB33" s="334">
        <v>1706070</v>
      </c>
      <c r="AC33" s="145">
        <f t="shared" si="0"/>
        <v>35827470</v>
      </c>
      <c r="AD33" s="195" t="s">
        <v>622</v>
      </c>
      <c r="AE33" s="211">
        <f>13648560+23316290-909904-227476</f>
        <v>35827470</v>
      </c>
      <c r="AF33" s="210">
        <f t="shared" si="1"/>
        <v>0</v>
      </c>
      <c r="AG33" s="237" t="s">
        <v>691</v>
      </c>
      <c r="AH33" s="238" t="s">
        <v>692</v>
      </c>
      <c r="AI33" s="239">
        <f>12738656+23088814</f>
        <v>35827470</v>
      </c>
      <c r="AJ33" s="240">
        <f t="shared" si="2"/>
        <v>0</v>
      </c>
      <c r="AK33" s="242" t="s">
        <v>693</v>
      </c>
      <c r="AL33" s="242" t="s">
        <v>475</v>
      </c>
      <c r="AM33" s="376">
        <f>2502236+3412140+3412140+3412140+2615974+3412140+3412140+3412140+3412140+3412140+3412140</f>
        <v>35827470</v>
      </c>
      <c r="AN33" s="13" t="s">
        <v>767</v>
      </c>
      <c r="AQ33" s="402"/>
    </row>
    <row r="34" spans="1:43" ht="116.25" customHeight="1" x14ac:dyDescent="0.2">
      <c r="A34" s="186" t="s">
        <v>117</v>
      </c>
      <c r="B34" s="65" t="s">
        <v>179</v>
      </c>
      <c r="C34" s="67" t="s">
        <v>320</v>
      </c>
      <c r="D34" s="69" t="s">
        <v>118</v>
      </c>
      <c r="E34" s="4" t="s">
        <v>239</v>
      </c>
      <c r="F34" s="18" t="s">
        <v>239</v>
      </c>
      <c r="G34" s="94" t="s">
        <v>319</v>
      </c>
      <c r="H34" s="23" t="s">
        <v>253</v>
      </c>
      <c r="I34" s="24">
        <v>80111600</v>
      </c>
      <c r="J34" s="26">
        <v>1</v>
      </c>
      <c r="K34" s="26">
        <v>1</v>
      </c>
      <c r="L34" s="26">
        <v>11</v>
      </c>
      <c r="M34" s="26">
        <v>1</v>
      </c>
      <c r="N34" s="24" t="s">
        <v>25</v>
      </c>
      <c r="O34" s="187" t="s">
        <v>312</v>
      </c>
      <c r="P34" s="188">
        <f>3318115*11</f>
        <v>36499265</v>
      </c>
      <c r="Q34" s="39">
        <v>0</v>
      </c>
      <c r="R34" s="39">
        <v>0</v>
      </c>
      <c r="S34" s="39" t="s">
        <v>313</v>
      </c>
      <c r="T34" s="39" t="s">
        <v>314</v>
      </c>
      <c r="U34" s="24" t="s">
        <v>257</v>
      </c>
      <c r="V34" s="24">
        <v>3846666</v>
      </c>
      <c r="W34" s="27" t="s">
        <v>258</v>
      </c>
      <c r="X34" s="24" t="s">
        <v>496</v>
      </c>
      <c r="Y34" s="24" t="s">
        <v>387</v>
      </c>
      <c r="Z34" s="24"/>
      <c r="AA34" s="24"/>
      <c r="AB34" s="358">
        <v>2433285</v>
      </c>
      <c r="AC34" s="145">
        <f t="shared" si="0"/>
        <v>34065980</v>
      </c>
      <c r="AD34" s="195" t="s">
        <v>623</v>
      </c>
      <c r="AE34" s="212">
        <f>12498237+22673786-110608-995435</f>
        <v>34065980</v>
      </c>
      <c r="AF34" s="210">
        <f t="shared" si="1"/>
        <v>0</v>
      </c>
      <c r="AG34" s="237" t="s">
        <v>702</v>
      </c>
      <c r="AH34" s="238" t="s">
        <v>703</v>
      </c>
      <c r="AI34" s="239">
        <f>12387629+21678351</f>
        <v>34065980</v>
      </c>
      <c r="AJ34" s="240">
        <f t="shared" si="2"/>
        <v>0</v>
      </c>
      <c r="AK34" s="245" t="s">
        <v>704</v>
      </c>
      <c r="AL34" s="242" t="s">
        <v>477</v>
      </c>
      <c r="AM34" s="376">
        <f>2433284+3318115+3318115+3318115+1769661+3318115+3318115+3318115+3318115+3318115+3318115</f>
        <v>34065980</v>
      </c>
      <c r="AN34" s="13" t="s">
        <v>767</v>
      </c>
      <c r="AQ34" s="402"/>
    </row>
    <row r="35" spans="1:43" ht="116.25" customHeight="1" x14ac:dyDescent="0.2">
      <c r="A35" s="186" t="s">
        <v>117</v>
      </c>
      <c r="B35" s="65" t="s">
        <v>179</v>
      </c>
      <c r="C35" s="67" t="s">
        <v>320</v>
      </c>
      <c r="D35" s="69" t="s">
        <v>118</v>
      </c>
      <c r="E35" s="4" t="s">
        <v>239</v>
      </c>
      <c r="F35" s="18" t="s">
        <v>239</v>
      </c>
      <c r="G35" s="94" t="s">
        <v>319</v>
      </c>
      <c r="H35" s="23" t="s">
        <v>256</v>
      </c>
      <c r="I35" s="24">
        <v>80111600</v>
      </c>
      <c r="J35" s="26">
        <v>1</v>
      </c>
      <c r="K35" s="26">
        <v>1</v>
      </c>
      <c r="L35" s="26">
        <v>11</v>
      </c>
      <c r="M35" s="26">
        <v>1</v>
      </c>
      <c r="N35" s="24" t="s">
        <v>25</v>
      </c>
      <c r="O35" s="187" t="s">
        <v>312</v>
      </c>
      <c r="P35" s="188">
        <f>36499265-P36</f>
        <v>5160235</v>
      </c>
      <c r="Q35" s="39">
        <v>0</v>
      </c>
      <c r="R35" s="39">
        <v>0</v>
      </c>
      <c r="S35" s="39" t="s">
        <v>313</v>
      </c>
      <c r="T35" s="39" t="s">
        <v>314</v>
      </c>
      <c r="U35" s="24" t="s">
        <v>257</v>
      </c>
      <c r="V35" s="24">
        <v>3846666</v>
      </c>
      <c r="W35" s="27" t="s">
        <v>258</v>
      </c>
      <c r="X35" s="24" t="s">
        <v>496</v>
      </c>
      <c r="Y35" s="24" t="s">
        <v>387</v>
      </c>
      <c r="Z35" s="24"/>
      <c r="AA35" s="24"/>
      <c r="AB35" s="24"/>
      <c r="AC35" s="145">
        <f t="shared" si="0"/>
        <v>5160235</v>
      </c>
      <c r="AD35" s="195">
        <v>18623</v>
      </c>
      <c r="AE35" s="210">
        <v>5160235</v>
      </c>
      <c r="AF35" s="210">
        <f t="shared" si="1"/>
        <v>0</v>
      </c>
      <c r="AG35" s="241">
        <v>20423</v>
      </c>
      <c r="AH35" s="244">
        <v>45085</v>
      </c>
      <c r="AI35" s="343">
        <v>5160235</v>
      </c>
      <c r="AJ35" s="240">
        <f t="shared" si="2"/>
        <v>0</v>
      </c>
      <c r="AK35" s="241" t="s">
        <v>697</v>
      </c>
      <c r="AL35" s="241" t="s">
        <v>489</v>
      </c>
      <c r="AM35" s="373">
        <f>2924177+2236058</f>
        <v>5160235</v>
      </c>
      <c r="AN35" s="12"/>
      <c r="AQ35" s="402"/>
    </row>
    <row r="36" spans="1:43" ht="116.25" customHeight="1" x14ac:dyDescent="0.2">
      <c r="A36" s="186" t="s">
        <v>117</v>
      </c>
      <c r="B36" s="65" t="s">
        <v>179</v>
      </c>
      <c r="C36" s="67" t="s">
        <v>320</v>
      </c>
      <c r="D36" s="69" t="s">
        <v>118</v>
      </c>
      <c r="E36" s="4" t="s">
        <v>239</v>
      </c>
      <c r="F36" s="18" t="s">
        <v>239</v>
      </c>
      <c r="G36" s="94" t="s">
        <v>319</v>
      </c>
      <c r="H36" s="23" t="s">
        <v>256</v>
      </c>
      <c r="I36" s="24">
        <v>80111600</v>
      </c>
      <c r="J36" s="26">
        <v>1</v>
      </c>
      <c r="K36" s="26">
        <v>1</v>
      </c>
      <c r="L36" s="26">
        <v>11</v>
      </c>
      <c r="M36" s="26">
        <v>1</v>
      </c>
      <c r="N36" s="24" t="s">
        <v>25</v>
      </c>
      <c r="O36" s="187" t="s">
        <v>385</v>
      </c>
      <c r="P36" s="188">
        <v>31339030</v>
      </c>
      <c r="Q36" s="39">
        <v>0</v>
      </c>
      <c r="R36" s="39">
        <v>0</v>
      </c>
      <c r="S36" s="39" t="s">
        <v>313</v>
      </c>
      <c r="T36" s="39" t="s">
        <v>314</v>
      </c>
      <c r="U36" s="24" t="s">
        <v>257</v>
      </c>
      <c r="V36" s="24">
        <v>3846666</v>
      </c>
      <c r="W36" s="27" t="s">
        <v>258</v>
      </c>
      <c r="X36" s="24" t="s">
        <v>496</v>
      </c>
      <c r="Y36" s="24" t="s">
        <v>387</v>
      </c>
      <c r="Z36" s="24"/>
      <c r="AA36" s="24"/>
      <c r="AB36" s="334">
        <f>26063317+1000000+1000000+600000+41443</f>
        <v>28704760</v>
      </c>
      <c r="AC36" s="145">
        <f t="shared" si="0"/>
        <v>2634270</v>
      </c>
      <c r="AD36" s="226"/>
      <c r="AE36" s="226"/>
      <c r="AF36" s="225">
        <f t="shared" si="1"/>
        <v>2634270</v>
      </c>
      <c r="AG36" s="243"/>
      <c r="AH36" s="243"/>
      <c r="AI36" s="287"/>
      <c r="AJ36" s="236">
        <f t="shared" si="2"/>
        <v>2634270</v>
      </c>
      <c r="AK36" s="243"/>
      <c r="AL36" s="243"/>
      <c r="AM36" s="282"/>
      <c r="AN36" s="13" t="s">
        <v>815</v>
      </c>
      <c r="AQ36" s="402"/>
    </row>
    <row r="37" spans="1:43" ht="116.25" customHeight="1" x14ac:dyDescent="0.2">
      <c r="A37" s="186" t="s">
        <v>117</v>
      </c>
      <c r="B37" s="65" t="s">
        <v>179</v>
      </c>
      <c r="C37" s="67" t="s">
        <v>320</v>
      </c>
      <c r="D37" s="69" t="s">
        <v>118</v>
      </c>
      <c r="E37" s="4" t="s">
        <v>239</v>
      </c>
      <c r="F37" s="18" t="s">
        <v>239</v>
      </c>
      <c r="G37" s="94" t="s">
        <v>319</v>
      </c>
      <c r="H37" s="23" t="s">
        <v>256</v>
      </c>
      <c r="I37" s="24">
        <v>80111600</v>
      </c>
      <c r="J37" s="26">
        <v>6</v>
      </c>
      <c r="K37" s="26">
        <v>6</v>
      </c>
      <c r="L37" s="26" t="s">
        <v>620</v>
      </c>
      <c r="M37" s="26">
        <v>0</v>
      </c>
      <c r="N37" s="24" t="s">
        <v>25</v>
      </c>
      <c r="O37" s="187" t="s">
        <v>385</v>
      </c>
      <c r="P37" s="188">
        <v>0</v>
      </c>
      <c r="Q37" s="39">
        <v>0</v>
      </c>
      <c r="R37" s="39">
        <v>0</v>
      </c>
      <c r="S37" s="39" t="s">
        <v>313</v>
      </c>
      <c r="T37" s="39" t="s">
        <v>314</v>
      </c>
      <c r="U37" s="24" t="s">
        <v>257</v>
      </c>
      <c r="V37" s="24">
        <v>3846666</v>
      </c>
      <c r="W37" s="27" t="s">
        <v>258</v>
      </c>
      <c r="X37" s="24" t="s">
        <v>496</v>
      </c>
      <c r="Y37" s="24" t="s">
        <v>387</v>
      </c>
      <c r="Z37" s="334">
        <v>26063317</v>
      </c>
      <c r="AA37" s="24"/>
      <c r="AB37" s="334">
        <f>700000+4714511</f>
        <v>5414511</v>
      </c>
      <c r="AC37" s="145">
        <f>P37+Z37+AA37-AB37</f>
        <v>20648806</v>
      </c>
      <c r="AD37" s="195">
        <v>18623</v>
      </c>
      <c r="AE37" s="210">
        <f>20903082-254276</f>
        <v>20648806</v>
      </c>
      <c r="AF37" s="210">
        <f>+AC37-AE37</f>
        <v>0</v>
      </c>
      <c r="AG37" s="241">
        <v>20423</v>
      </c>
      <c r="AH37" s="244">
        <v>45085</v>
      </c>
      <c r="AI37" s="343">
        <v>20648806</v>
      </c>
      <c r="AJ37" s="240">
        <f>+AC37-AI37</f>
        <v>0</v>
      </c>
      <c r="AK37" s="241" t="s">
        <v>697</v>
      </c>
      <c r="AL37" s="241" t="s">
        <v>489</v>
      </c>
      <c r="AM37" s="373">
        <f>1578086+3814144+3814144+3814144+3814144+3814144</f>
        <v>20648806</v>
      </c>
      <c r="AN37" s="11" t="s">
        <v>816</v>
      </c>
      <c r="AQ37" s="402"/>
    </row>
    <row r="38" spans="1:43" ht="116.25" customHeight="1" x14ac:dyDescent="0.2">
      <c r="A38" s="186" t="s">
        <v>117</v>
      </c>
      <c r="B38" s="65" t="s">
        <v>179</v>
      </c>
      <c r="C38" s="67" t="s">
        <v>320</v>
      </c>
      <c r="D38" s="69" t="s">
        <v>118</v>
      </c>
      <c r="E38" s="4" t="s">
        <v>239</v>
      </c>
      <c r="F38" s="18" t="s">
        <v>239</v>
      </c>
      <c r="G38" s="94" t="s">
        <v>319</v>
      </c>
      <c r="H38" s="23" t="s">
        <v>254</v>
      </c>
      <c r="I38" s="24">
        <v>80111600</v>
      </c>
      <c r="J38" s="26">
        <v>1</v>
      </c>
      <c r="K38" s="26">
        <v>1</v>
      </c>
      <c r="L38" s="26">
        <v>11</v>
      </c>
      <c r="M38" s="26">
        <v>1</v>
      </c>
      <c r="N38" s="24" t="s">
        <v>25</v>
      </c>
      <c r="O38" s="187" t="s">
        <v>312</v>
      </c>
      <c r="P38" s="188">
        <f>3318115*11+6325000</f>
        <v>42824265</v>
      </c>
      <c r="Q38" s="39">
        <v>0</v>
      </c>
      <c r="R38" s="39">
        <v>0</v>
      </c>
      <c r="S38" s="39" t="s">
        <v>313</v>
      </c>
      <c r="T38" s="39" t="s">
        <v>314</v>
      </c>
      <c r="U38" s="24" t="s">
        <v>257</v>
      </c>
      <c r="V38" s="24">
        <v>3846666</v>
      </c>
      <c r="W38" s="27" t="s">
        <v>258</v>
      </c>
      <c r="X38" s="24" t="s">
        <v>496</v>
      </c>
      <c r="Y38" s="24" t="s">
        <v>387</v>
      </c>
      <c r="Z38" s="24"/>
      <c r="AA38" s="24"/>
      <c r="AB38" s="334">
        <v>1946558</v>
      </c>
      <c r="AC38" s="145">
        <f t="shared" si="0"/>
        <v>40877707</v>
      </c>
      <c r="AD38" s="195" t="s">
        <v>624</v>
      </c>
      <c r="AE38" s="211">
        <f>15572460+26602952-1038164-259541</f>
        <v>40877707</v>
      </c>
      <c r="AF38" s="210">
        <f t="shared" si="1"/>
        <v>0</v>
      </c>
      <c r="AG38" s="237" t="s">
        <v>694</v>
      </c>
      <c r="AH38" s="238" t="s">
        <v>695</v>
      </c>
      <c r="AI38" s="239">
        <f>14534296+26343411</f>
        <v>40877707</v>
      </c>
      <c r="AJ38" s="240">
        <f t="shared" si="2"/>
        <v>0</v>
      </c>
      <c r="AK38" s="245" t="s">
        <v>696</v>
      </c>
      <c r="AL38" s="242" t="s">
        <v>476</v>
      </c>
      <c r="AM38" s="373">
        <f>2854951+3893115+3893115+3893115+2984721+3893115+3893115+3893115+3893115+3893115+3893115</f>
        <v>40877707</v>
      </c>
      <c r="AN38" s="13" t="s">
        <v>557</v>
      </c>
      <c r="AQ38" s="402"/>
    </row>
    <row r="39" spans="1:43" ht="116.25" customHeight="1" x14ac:dyDescent="0.2">
      <c r="A39" s="186" t="s">
        <v>117</v>
      </c>
      <c r="B39" s="65" t="s">
        <v>179</v>
      </c>
      <c r="C39" s="67" t="s">
        <v>320</v>
      </c>
      <c r="D39" s="69" t="s">
        <v>118</v>
      </c>
      <c r="E39" s="4" t="s">
        <v>239</v>
      </c>
      <c r="F39" s="18" t="s">
        <v>239</v>
      </c>
      <c r="G39" s="94" t="s">
        <v>319</v>
      </c>
      <c r="H39" s="23" t="s">
        <v>254</v>
      </c>
      <c r="I39" s="24">
        <v>80111600</v>
      </c>
      <c r="J39" s="26">
        <v>1</v>
      </c>
      <c r="K39" s="26">
        <v>1</v>
      </c>
      <c r="L39" s="26">
        <v>1</v>
      </c>
      <c r="M39" s="26">
        <v>1</v>
      </c>
      <c r="N39" s="24" t="s">
        <v>25</v>
      </c>
      <c r="O39" s="187" t="s">
        <v>385</v>
      </c>
      <c r="P39" s="188">
        <v>0</v>
      </c>
      <c r="Q39" s="39">
        <v>0</v>
      </c>
      <c r="R39" s="39">
        <v>0</v>
      </c>
      <c r="S39" s="39" t="s">
        <v>313</v>
      </c>
      <c r="T39" s="39" t="s">
        <v>314</v>
      </c>
      <c r="U39" s="24" t="s">
        <v>257</v>
      </c>
      <c r="V39" s="24">
        <v>3846666</v>
      </c>
      <c r="W39" s="27" t="s">
        <v>258</v>
      </c>
      <c r="X39" s="24" t="s">
        <v>496</v>
      </c>
      <c r="Y39" s="24" t="s">
        <v>387</v>
      </c>
      <c r="Z39" s="334">
        <v>700000</v>
      </c>
      <c r="AA39" s="24"/>
      <c r="AB39" s="334"/>
      <c r="AC39" s="145">
        <f>P39+Z39+AA39-AB39</f>
        <v>700000</v>
      </c>
      <c r="AD39" s="195">
        <v>29723</v>
      </c>
      <c r="AE39" s="211">
        <v>700000</v>
      </c>
      <c r="AF39" s="210">
        <f>+AC39-AE39</f>
        <v>0</v>
      </c>
      <c r="AG39" s="381">
        <v>32023</v>
      </c>
      <c r="AH39" s="382">
        <v>45202</v>
      </c>
      <c r="AI39" s="246">
        <v>700000</v>
      </c>
      <c r="AJ39" s="236">
        <f>+AC39-AI39</f>
        <v>0</v>
      </c>
      <c r="AK39" s="228" t="s">
        <v>844</v>
      </c>
      <c r="AL39" s="383" t="s">
        <v>476</v>
      </c>
      <c r="AM39" s="373">
        <v>700000</v>
      </c>
      <c r="AN39" s="13" t="s">
        <v>815</v>
      </c>
      <c r="AQ39" s="402"/>
    </row>
    <row r="40" spans="1:43" ht="116.25" customHeight="1" x14ac:dyDescent="0.2">
      <c r="A40" s="186" t="s">
        <v>117</v>
      </c>
      <c r="B40" s="65" t="s">
        <v>179</v>
      </c>
      <c r="C40" s="67" t="s">
        <v>320</v>
      </c>
      <c r="D40" s="69" t="s">
        <v>118</v>
      </c>
      <c r="E40" s="4" t="s">
        <v>239</v>
      </c>
      <c r="F40" s="18" t="s">
        <v>239</v>
      </c>
      <c r="G40" s="94" t="s">
        <v>319</v>
      </c>
      <c r="H40" s="23" t="s">
        <v>255</v>
      </c>
      <c r="I40" s="24">
        <v>80111600</v>
      </c>
      <c r="J40" s="26">
        <v>1</v>
      </c>
      <c r="K40" s="26">
        <v>1</v>
      </c>
      <c r="L40" s="26">
        <v>11</v>
      </c>
      <c r="M40" s="26">
        <v>1</v>
      </c>
      <c r="N40" s="24" t="s">
        <v>25</v>
      </c>
      <c r="O40" s="187" t="s">
        <v>312</v>
      </c>
      <c r="P40" s="188">
        <f>3318115*11</f>
        <v>36499265</v>
      </c>
      <c r="Q40" s="39">
        <v>0</v>
      </c>
      <c r="R40" s="39">
        <v>0</v>
      </c>
      <c r="S40" s="39" t="s">
        <v>313</v>
      </c>
      <c r="T40" s="39" t="s">
        <v>314</v>
      </c>
      <c r="U40" s="24" t="s">
        <v>257</v>
      </c>
      <c r="V40" s="24">
        <v>3846666</v>
      </c>
      <c r="W40" s="27" t="s">
        <v>258</v>
      </c>
      <c r="X40" s="24" t="s">
        <v>496</v>
      </c>
      <c r="Y40" s="24" t="s">
        <v>387</v>
      </c>
      <c r="Z40" s="24"/>
      <c r="AA40" s="24"/>
      <c r="AB40" s="334">
        <v>13493661</v>
      </c>
      <c r="AC40" s="145">
        <f t="shared" si="0"/>
        <v>23005604</v>
      </c>
      <c r="AD40" s="195">
        <v>9323</v>
      </c>
      <c r="AE40" s="210">
        <v>23005604</v>
      </c>
      <c r="AF40" s="210">
        <f t="shared" si="1"/>
        <v>0</v>
      </c>
      <c r="AG40" s="241">
        <v>11023</v>
      </c>
      <c r="AH40" s="244">
        <v>45016</v>
      </c>
      <c r="AI40" s="246">
        <v>23005604</v>
      </c>
      <c r="AJ40" s="240">
        <f t="shared" si="2"/>
        <v>0</v>
      </c>
      <c r="AK40" s="241" t="s">
        <v>519</v>
      </c>
      <c r="AL40" s="241" t="s">
        <v>520</v>
      </c>
      <c r="AM40" s="373">
        <f>1216642+3318116+3318116+3318116+3318116+3318116+3318116+1880266</f>
        <v>23005604</v>
      </c>
      <c r="AN40" s="13" t="s">
        <v>557</v>
      </c>
      <c r="AQ40" s="402"/>
    </row>
    <row r="41" spans="1:43" ht="116.25" customHeight="1" x14ac:dyDescent="0.2">
      <c r="A41" s="186" t="s">
        <v>117</v>
      </c>
      <c r="B41" s="65" t="s">
        <v>179</v>
      </c>
      <c r="C41" s="67" t="s">
        <v>320</v>
      </c>
      <c r="D41" s="69" t="s">
        <v>118</v>
      </c>
      <c r="E41" s="4" t="s">
        <v>239</v>
      </c>
      <c r="F41" s="18" t="s">
        <v>239</v>
      </c>
      <c r="G41" s="94" t="s">
        <v>319</v>
      </c>
      <c r="H41" s="23" t="s">
        <v>880</v>
      </c>
      <c r="I41" s="24">
        <v>80111600</v>
      </c>
      <c r="J41" s="26">
        <v>1</v>
      </c>
      <c r="K41" s="26">
        <v>1</v>
      </c>
      <c r="L41" s="26">
        <v>1</v>
      </c>
      <c r="M41" s="26">
        <v>1</v>
      </c>
      <c r="N41" s="24" t="s">
        <v>25</v>
      </c>
      <c r="O41" s="187" t="s">
        <v>385</v>
      </c>
      <c r="P41" s="188">
        <v>0</v>
      </c>
      <c r="Q41" s="39">
        <v>0</v>
      </c>
      <c r="R41" s="39">
        <v>0</v>
      </c>
      <c r="S41" s="39" t="s">
        <v>313</v>
      </c>
      <c r="T41" s="39" t="s">
        <v>314</v>
      </c>
      <c r="U41" s="24" t="s">
        <v>257</v>
      </c>
      <c r="V41" s="24">
        <v>3846666</v>
      </c>
      <c r="W41" s="27" t="s">
        <v>258</v>
      </c>
      <c r="X41" s="24" t="s">
        <v>496</v>
      </c>
      <c r="Y41" s="24" t="s">
        <v>387</v>
      </c>
      <c r="Z41" s="334">
        <v>4755954</v>
      </c>
      <c r="AA41" s="24"/>
      <c r="AB41" s="334"/>
      <c r="AC41" s="145">
        <f>P41+Z41+AA41-AB41</f>
        <v>4755954</v>
      </c>
      <c r="AD41" s="195">
        <v>32823</v>
      </c>
      <c r="AE41" s="210">
        <v>4755954</v>
      </c>
      <c r="AF41" s="210">
        <f>+AC41-AE41</f>
        <v>0</v>
      </c>
      <c r="AG41" s="241">
        <v>37123</v>
      </c>
      <c r="AH41" s="244">
        <v>45247</v>
      </c>
      <c r="AI41" s="246">
        <v>4755954</v>
      </c>
      <c r="AJ41" s="240"/>
      <c r="AK41" s="403" t="s">
        <v>918</v>
      </c>
      <c r="AL41" s="241" t="s">
        <v>520</v>
      </c>
      <c r="AM41" s="373">
        <f>1437838+3318116</f>
        <v>4755954</v>
      </c>
      <c r="AN41" s="13" t="s">
        <v>815</v>
      </c>
      <c r="AQ41" s="402"/>
    </row>
    <row r="42" spans="1:43" ht="116.25" customHeight="1" x14ac:dyDescent="0.2">
      <c r="A42" s="186" t="s">
        <v>120</v>
      </c>
      <c r="B42" s="65" t="s">
        <v>179</v>
      </c>
      <c r="C42" s="66" t="s">
        <v>323</v>
      </c>
      <c r="D42" s="68" t="s">
        <v>121</v>
      </c>
      <c r="E42" s="11" t="s">
        <v>126</v>
      </c>
      <c r="F42" s="11" t="s">
        <v>181</v>
      </c>
      <c r="G42" s="11" t="s">
        <v>326</v>
      </c>
      <c r="H42" s="1" t="s">
        <v>122</v>
      </c>
      <c r="I42" s="11">
        <v>78102203</v>
      </c>
      <c r="J42" s="13">
        <v>3</v>
      </c>
      <c r="K42" s="13">
        <v>3</v>
      </c>
      <c r="L42" s="13">
        <v>9</v>
      </c>
      <c r="M42" s="13">
        <v>1</v>
      </c>
      <c r="N42" s="11" t="s">
        <v>25</v>
      </c>
      <c r="O42" s="187" t="s">
        <v>312</v>
      </c>
      <c r="P42" s="188">
        <v>4000000</v>
      </c>
      <c r="Q42" s="36">
        <v>0</v>
      </c>
      <c r="R42" s="36">
        <v>0</v>
      </c>
      <c r="S42" s="36" t="s">
        <v>313</v>
      </c>
      <c r="T42" s="36" t="s">
        <v>314</v>
      </c>
      <c r="U42" s="11" t="s">
        <v>22</v>
      </c>
      <c r="V42" s="11">
        <v>3846666</v>
      </c>
      <c r="W42" s="11" t="s">
        <v>23</v>
      </c>
      <c r="X42" s="11" t="s">
        <v>26</v>
      </c>
      <c r="Y42" s="11" t="s">
        <v>41</v>
      </c>
      <c r="Z42" s="11"/>
      <c r="AA42" s="11"/>
      <c r="AB42" s="153">
        <v>4000000</v>
      </c>
      <c r="AC42" s="155">
        <f t="shared" si="0"/>
        <v>0</v>
      </c>
      <c r="AD42" s="226"/>
      <c r="AE42" s="227"/>
      <c r="AF42" s="225">
        <f t="shared" si="1"/>
        <v>0</v>
      </c>
      <c r="AG42" s="243"/>
      <c r="AH42" s="243"/>
      <c r="AI42" s="287"/>
      <c r="AJ42" s="236">
        <f t="shared" si="2"/>
        <v>0</v>
      </c>
      <c r="AK42" s="243"/>
      <c r="AL42" s="243"/>
      <c r="AM42" s="354"/>
      <c r="AN42" s="13" t="s">
        <v>815</v>
      </c>
      <c r="AQ42" s="402"/>
    </row>
    <row r="43" spans="1:43" ht="116.25" customHeight="1" x14ac:dyDescent="0.2">
      <c r="A43" s="186" t="s">
        <v>120</v>
      </c>
      <c r="B43" s="65" t="s">
        <v>179</v>
      </c>
      <c r="C43" s="66" t="s">
        <v>323</v>
      </c>
      <c r="D43" s="68" t="s">
        <v>121</v>
      </c>
      <c r="E43" s="11" t="s">
        <v>127</v>
      </c>
      <c r="F43" s="137" t="s">
        <v>127</v>
      </c>
      <c r="G43" s="7" t="s">
        <v>0</v>
      </c>
      <c r="H43" s="42" t="s">
        <v>438</v>
      </c>
      <c r="I43" s="7">
        <v>80111600</v>
      </c>
      <c r="J43" s="7">
        <v>1</v>
      </c>
      <c r="K43" s="7">
        <v>1</v>
      </c>
      <c r="L43" s="7" t="s">
        <v>603</v>
      </c>
      <c r="M43" s="7">
        <v>1</v>
      </c>
      <c r="N43" s="98" t="s">
        <v>25</v>
      </c>
      <c r="O43" s="187" t="s">
        <v>312</v>
      </c>
      <c r="P43" s="188">
        <f>2448537*11</f>
        <v>26933907</v>
      </c>
      <c r="Q43" s="97">
        <v>0</v>
      </c>
      <c r="R43" s="97">
        <v>0</v>
      </c>
      <c r="S43" s="97" t="s">
        <v>313</v>
      </c>
      <c r="T43" s="97" t="s">
        <v>314</v>
      </c>
      <c r="U43" s="98" t="s">
        <v>541</v>
      </c>
      <c r="V43" s="98">
        <v>3846666</v>
      </c>
      <c r="W43" s="96" t="s">
        <v>178</v>
      </c>
      <c r="X43" s="7" t="s">
        <v>496</v>
      </c>
      <c r="Y43" s="7" t="s">
        <v>433</v>
      </c>
      <c r="Z43" s="98"/>
      <c r="AA43" s="283">
        <v>5187267</v>
      </c>
      <c r="AB43" s="98"/>
      <c r="AC43" s="139">
        <f t="shared" si="0"/>
        <v>32121174</v>
      </c>
      <c r="AD43" s="199" t="s">
        <v>625</v>
      </c>
      <c r="AE43" s="213">
        <f>11970624+20150550</f>
        <v>32121174</v>
      </c>
      <c r="AF43" s="210">
        <f t="shared" si="1"/>
        <v>0</v>
      </c>
      <c r="AG43" s="241" t="s">
        <v>708</v>
      </c>
      <c r="AH43" s="255" t="s">
        <v>709</v>
      </c>
      <c r="AI43" s="246">
        <f>11970624+20150550</f>
        <v>32121174</v>
      </c>
      <c r="AJ43" s="240">
        <f t="shared" si="2"/>
        <v>0</v>
      </c>
      <c r="AK43" s="245" t="s">
        <v>710</v>
      </c>
      <c r="AL43" s="245" t="s">
        <v>448</v>
      </c>
      <c r="AM43" s="376">
        <f>2992656+2992656+2992656+2992656+2194614+2992656+2992656+2992656+2992656+2992656+2992656</f>
        <v>32121174</v>
      </c>
      <c r="AN43" s="11" t="s">
        <v>560</v>
      </c>
      <c r="AQ43" s="402"/>
    </row>
    <row r="44" spans="1:43" ht="116.25" customHeight="1" x14ac:dyDescent="0.2">
      <c r="A44" s="186" t="s">
        <v>120</v>
      </c>
      <c r="B44" s="65" t="s">
        <v>179</v>
      </c>
      <c r="C44" s="66" t="s">
        <v>323</v>
      </c>
      <c r="D44" s="68" t="s">
        <v>121</v>
      </c>
      <c r="E44" s="11" t="s">
        <v>127</v>
      </c>
      <c r="F44" s="137" t="s">
        <v>127</v>
      </c>
      <c r="G44" s="7" t="s">
        <v>0</v>
      </c>
      <c r="H44" s="42" t="s">
        <v>315</v>
      </c>
      <c r="I44" s="7">
        <v>80111600</v>
      </c>
      <c r="J44" s="7">
        <v>1</v>
      </c>
      <c r="K44" s="7">
        <v>1</v>
      </c>
      <c r="L44" s="7">
        <v>11</v>
      </c>
      <c r="M44" s="7">
        <v>1</v>
      </c>
      <c r="N44" s="98" t="s">
        <v>25</v>
      </c>
      <c r="O44" s="187" t="s">
        <v>312</v>
      </c>
      <c r="P44" s="188">
        <f>3318115*11</f>
        <v>36499265</v>
      </c>
      <c r="Q44" s="97">
        <v>0</v>
      </c>
      <c r="R44" s="97">
        <v>0</v>
      </c>
      <c r="S44" s="97" t="s">
        <v>313</v>
      </c>
      <c r="T44" s="97" t="s">
        <v>314</v>
      </c>
      <c r="U44" s="98" t="s">
        <v>541</v>
      </c>
      <c r="V44" s="98">
        <v>3846666</v>
      </c>
      <c r="W44" s="96" t="s">
        <v>178</v>
      </c>
      <c r="X44" s="7" t="s">
        <v>496</v>
      </c>
      <c r="Y44" s="7" t="s">
        <v>433</v>
      </c>
      <c r="Z44" s="98"/>
      <c r="AA44" s="98"/>
      <c r="AB44" s="283">
        <v>1327246</v>
      </c>
      <c r="AC44" s="139">
        <f t="shared" si="0"/>
        <v>35172019</v>
      </c>
      <c r="AD44" s="199" t="s">
        <v>585</v>
      </c>
      <c r="AE44" s="210">
        <f>12498237-4+23226805-553019</f>
        <v>35172019</v>
      </c>
      <c r="AF44" s="210">
        <f t="shared" si="1"/>
        <v>0</v>
      </c>
      <c r="AG44" s="237" t="s">
        <v>664</v>
      </c>
      <c r="AH44" s="238" t="s">
        <v>665</v>
      </c>
      <c r="AI44" s="239">
        <f>12498233+22673786</f>
        <v>35172019</v>
      </c>
      <c r="AJ44" s="240">
        <f>+AC44-AI44</f>
        <v>0</v>
      </c>
      <c r="AK44" s="241" t="s">
        <v>483</v>
      </c>
      <c r="AL44" s="242" t="s">
        <v>482</v>
      </c>
      <c r="AM44" s="376">
        <f>2543888+3318115+3318115+3318115+2765096+3318115+3318115+3318115+3318115+3318115+3318115</f>
        <v>35172019</v>
      </c>
      <c r="AN44" s="13" t="s">
        <v>557</v>
      </c>
      <c r="AQ44" s="402"/>
    </row>
    <row r="45" spans="1:43" ht="116.25" customHeight="1" x14ac:dyDescent="0.2">
      <c r="A45" s="186" t="s">
        <v>120</v>
      </c>
      <c r="B45" s="65" t="s">
        <v>179</v>
      </c>
      <c r="C45" s="66" t="s">
        <v>323</v>
      </c>
      <c r="D45" s="68" t="s">
        <v>121</v>
      </c>
      <c r="E45" s="11" t="s">
        <v>127</v>
      </c>
      <c r="F45" s="137" t="s">
        <v>127</v>
      </c>
      <c r="G45" s="7" t="s">
        <v>0</v>
      </c>
      <c r="H45" s="42" t="s">
        <v>176</v>
      </c>
      <c r="I45" s="7">
        <v>80111600</v>
      </c>
      <c r="J45" s="7">
        <v>1</v>
      </c>
      <c r="K45" s="7">
        <v>1</v>
      </c>
      <c r="L45" s="7">
        <v>11</v>
      </c>
      <c r="M45" s="7">
        <v>1</v>
      </c>
      <c r="N45" s="98" t="s">
        <v>25</v>
      </c>
      <c r="O45" s="187" t="s">
        <v>312</v>
      </c>
      <c r="P45" s="188">
        <f>1224268*11</f>
        <v>13466948</v>
      </c>
      <c r="Q45" s="97">
        <v>0</v>
      </c>
      <c r="R45" s="97">
        <v>0</v>
      </c>
      <c r="S45" s="97" t="s">
        <v>313</v>
      </c>
      <c r="T45" s="97" t="s">
        <v>314</v>
      </c>
      <c r="U45" s="98" t="s">
        <v>541</v>
      </c>
      <c r="V45" s="98">
        <v>3846666</v>
      </c>
      <c r="W45" s="96" t="s">
        <v>178</v>
      </c>
      <c r="X45" s="7" t="s">
        <v>169</v>
      </c>
      <c r="Y45" s="7" t="s">
        <v>433</v>
      </c>
      <c r="Z45" s="98"/>
      <c r="AA45" s="98"/>
      <c r="AB45" s="98"/>
      <c r="AC45" s="139">
        <f t="shared" si="0"/>
        <v>13466948</v>
      </c>
      <c r="AD45" s="214" t="s">
        <v>582</v>
      </c>
      <c r="AE45" s="215">
        <f>4897072+8569876</f>
        <v>13466948</v>
      </c>
      <c r="AF45" s="210">
        <f t="shared" si="1"/>
        <v>0</v>
      </c>
      <c r="AG45" s="241" t="s">
        <v>644</v>
      </c>
      <c r="AH45" s="255" t="s">
        <v>640</v>
      </c>
      <c r="AI45" s="246">
        <f>4897072+8569876</f>
        <v>13466948</v>
      </c>
      <c r="AJ45" s="240">
        <f t="shared" si="2"/>
        <v>0</v>
      </c>
      <c r="AK45" s="245" t="s">
        <v>645</v>
      </c>
      <c r="AL45" s="245" t="s">
        <v>449</v>
      </c>
      <c r="AM45" s="376">
        <f>1224268+1224268+1224268+1224268+1224268+1224268+1224268+1224268+1224268+1224268+1224268</f>
        <v>13466948</v>
      </c>
      <c r="AN45" s="12"/>
      <c r="AQ45" s="402"/>
    </row>
    <row r="46" spans="1:43" ht="116.25" customHeight="1" x14ac:dyDescent="0.2">
      <c r="A46" s="186" t="s">
        <v>120</v>
      </c>
      <c r="B46" s="65" t="s">
        <v>179</v>
      </c>
      <c r="C46" s="66" t="s">
        <v>323</v>
      </c>
      <c r="D46" s="68" t="s">
        <v>121</v>
      </c>
      <c r="E46" s="11" t="s">
        <v>127</v>
      </c>
      <c r="F46" s="137" t="s">
        <v>127</v>
      </c>
      <c r="G46" s="7" t="s">
        <v>0</v>
      </c>
      <c r="H46" s="42" t="s">
        <v>177</v>
      </c>
      <c r="I46" s="7">
        <v>80111600</v>
      </c>
      <c r="J46" s="7">
        <v>1</v>
      </c>
      <c r="K46" s="7">
        <v>1</v>
      </c>
      <c r="L46" s="7">
        <v>11</v>
      </c>
      <c r="M46" s="7">
        <v>1</v>
      </c>
      <c r="N46" s="98" t="s">
        <v>25</v>
      </c>
      <c r="O46" s="187" t="s">
        <v>312</v>
      </c>
      <c r="P46" s="188">
        <f>1224268*11</f>
        <v>13466948</v>
      </c>
      <c r="Q46" s="97">
        <v>0</v>
      </c>
      <c r="R46" s="97">
        <v>0</v>
      </c>
      <c r="S46" s="97" t="s">
        <v>313</v>
      </c>
      <c r="T46" s="97" t="s">
        <v>314</v>
      </c>
      <c r="U46" s="98" t="s">
        <v>541</v>
      </c>
      <c r="V46" s="98">
        <v>3846666</v>
      </c>
      <c r="W46" s="96" t="s">
        <v>178</v>
      </c>
      <c r="X46" s="7" t="s">
        <v>169</v>
      </c>
      <c r="Y46" s="7" t="s">
        <v>433</v>
      </c>
      <c r="Z46" s="98"/>
      <c r="AA46" s="98"/>
      <c r="AB46" s="98"/>
      <c r="AC46" s="139">
        <f t="shared" si="0"/>
        <v>13466948</v>
      </c>
      <c r="AD46" s="214" t="s">
        <v>584</v>
      </c>
      <c r="AE46" s="215">
        <f>4897072+8569876</f>
        <v>13466948</v>
      </c>
      <c r="AF46" s="210">
        <f t="shared" si="1"/>
        <v>0</v>
      </c>
      <c r="AG46" s="241" t="s">
        <v>646</v>
      </c>
      <c r="AH46" s="255" t="s">
        <v>626</v>
      </c>
      <c r="AI46" s="246">
        <f>4897072+8569876</f>
        <v>13466948</v>
      </c>
      <c r="AJ46" s="240">
        <f t="shared" si="2"/>
        <v>0</v>
      </c>
      <c r="AK46" s="245" t="s">
        <v>647</v>
      </c>
      <c r="AL46" s="245" t="s">
        <v>450</v>
      </c>
      <c r="AM46" s="376">
        <f>1224268+1224268+2448537+1224268+1224268+1224268+1224268+1224268+1224268+1224267</f>
        <v>13466948</v>
      </c>
      <c r="AN46" s="12"/>
      <c r="AQ46" s="402"/>
    </row>
    <row r="47" spans="1:43" ht="156" customHeight="1" x14ac:dyDescent="0.2">
      <c r="A47" s="186" t="s">
        <v>120</v>
      </c>
      <c r="B47" s="65" t="s">
        <v>179</v>
      </c>
      <c r="C47" s="66" t="s">
        <v>323</v>
      </c>
      <c r="D47" s="68" t="s">
        <v>121</v>
      </c>
      <c r="E47" s="11" t="s">
        <v>127</v>
      </c>
      <c r="F47" s="114" t="s">
        <v>127</v>
      </c>
      <c r="G47" s="86" t="s">
        <v>324</v>
      </c>
      <c r="H47" s="86" t="s">
        <v>437</v>
      </c>
      <c r="I47" s="86">
        <v>80111600</v>
      </c>
      <c r="J47" s="86">
        <v>1</v>
      </c>
      <c r="K47" s="86">
        <v>1</v>
      </c>
      <c r="L47" s="86">
        <v>4</v>
      </c>
      <c r="M47" s="86">
        <v>1</v>
      </c>
      <c r="N47" s="92" t="s">
        <v>25</v>
      </c>
      <c r="O47" s="187" t="s">
        <v>312</v>
      </c>
      <c r="P47" s="188">
        <f>2448537*6</f>
        <v>14691222</v>
      </c>
      <c r="Q47" s="91">
        <v>0</v>
      </c>
      <c r="R47" s="91">
        <v>0</v>
      </c>
      <c r="S47" s="91" t="s">
        <v>313</v>
      </c>
      <c r="T47" s="91" t="s">
        <v>314</v>
      </c>
      <c r="U47" s="92" t="s">
        <v>541</v>
      </c>
      <c r="V47" s="92">
        <v>3846666</v>
      </c>
      <c r="W47" s="93" t="s">
        <v>178</v>
      </c>
      <c r="X47" s="86" t="s">
        <v>169</v>
      </c>
      <c r="Y47" s="86" t="s">
        <v>433</v>
      </c>
      <c r="Z47" s="92"/>
      <c r="AA47" s="262"/>
      <c r="AB47" s="262">
        <v>81618</v>
      </c>
      <c r="AC47" s="156">
        <f t="shared" si="0"/>
        <v>14609604</v>
      </c>
      <c r="AD47" s="214" t="s">
        <v>583</v>
      </c>
      <c r="AE47" s="215">
        <f>7998554+6692668-81618</f>
        <v>14609604</v>
      </c>
      <c r="AF47" s="216">
        <f>+AC47-AE47</f>
        <v>0</v>
      </c>
      <c r="AG47" s="241" t="s">
        <v>655</v>
      </c>
      <c r="AH47" s="255" t="s">
        <v>656</v>
      </c>
      <c r="AI47" s="246">
        <f>7916936+6692668</f>
        <v>14609604</v>
      </c>
      <c r="AJ47" s="240">
        <f>+AC47-AI47</f>
        <v>0</v>
      </c>
      <c r="AK47" s="241" t="s">
        <v>657</v>
      </c>
      <c r="AL47" s="245" t="s">
        <v>659</v>
      </c>
      <c r="AM47" s="376">
        <f>571325+2448537+2448537+2448537+2366919+2448537+2448537-571325</f>
        <v>14609604</v>
      </c>
      <c r="AN47" s="11" t="s">
        <v>768</v>
      </c>
      <c r="AQ47" s="402"/>
    </row>
    <row r="48" spans="1:43" ht="116.25" customHeight="1" x14ac:dyDescent="0.2">
      <c r="A48" s="186" t="s">
        <v>120</v>
      </c>
      <c r="B48" s="65" t="s">
        <v>179</v>
      </c>
      <c r="C48" s="66" t="s">
        <v>323</v>
      </c>
      <c r="D48" s="68" t="s">
        <v>121</v>
      </c>
      <c r="E48" s="11" t="s">
        <v>127</v>
      </c>
      <c r="F48" s="114" t="s">
        <v>127</v>
      </c>
      <c r="G48" s="86" t="s">
        <v>324</v>
      </c>
      <c r="H48" s="86" t="s">
        <v>577</v>
      </c>
      <c r="I48" s="86">
        <v>80111600</v>
      </c>
      <c r="J48" s="86">
        <v>1</v>
      </c>
      <c r="K48" s="86">
        <v>1</v>
      </c>
      <c r="L48" s="86">
        <v>7</v>
      </c>
      <c r="M48" s="86">
        <v>1</v>
      </c>
      <c r="N48" s="92" t="s">
        <v>25</v>
      </c>
      <c r="O48" s="187" t="s">
        <v>312</v>
      </c>
      <c r="P48" s="188">
        <v>0</v>
      </c>
      <c r="Q48" s="91">
        <v>0</v>
      </c>
      <c r="R48" s="91">
        <v>0</v>
      </c>
      <c r="S48" s="91" t="s">
        <v>313</v>
      </c>
      <c r="T48" s="91" t="s">
        <v>314</v>
      </c>
      <c r="U48" s="92" t="s">
        <v>541</v>
      </c>
      <c r="V48" s="92">
        <v>3846666</v>
      </c>
      <c r="W48" s="93" t="s">
        <v>178</v>
      </c>
      <c r="X48" s="86" t="s">
        <v>169</v>
      </c>
      <c r="Y48" s="86" t="s">
        <v>433</v>
      </c>
      <c r="Z48" s="262">
        <v>10447091</v>
      </c>
      <c r="AA48" s="262"/>
      <c r="AB48" s="262">
        <v>81618</v>
      </c>
      <c r="AC48" s="156">
        <f>P48+Z48+AA48-AB48</f>
        <v>10365473</v>
      </c>
      <c r="AD48" s="214">
        <v>16823</v>
      </c>
      <c r="AE48" s="215">
        <f>10447091-81618</f>
        <v>10365473</v>
      </c>
      <c r="AF48" s="216">
        <f>+AC48-AE48</f>
        <v>0</v>
      </c>
      <c r="AG48" s="241">
        <v>19023</v>
      </c>
      <c r="AH48" s="244">
        <v>45079</v>
      </c>
      <c r="AI48" s="246">
        <v>10365473</v>
      </c>
      <c r="AJ48" s="240">
        <f>+AC48-AI48</f>
        <v>0</v>
      </c>
      <c r="AK48" s="241" t="s">
        <v>658</v>
      </c>
      <c r="AL48" s="241" t="s">
        <v>660</v>
      </c>
      <c r="AM48" s="376">
        <f>571325+2448537+2448537+2448537+2448537</f>
        <v>10365473</v>
      </c>
      <c r="AN48" s="11" t="s">
        <v>557</v>
      </c>
      <c r="AQ48" s="402"/>
    </row>
    <row r="49" spans="1:43" ht="116.25" customHeight="1" x14ac:dyDescent="0.2">
      <c r="A49" s="186" t="s">
        <v>120</v>
      </c>
      <c r="B49" s="65" t="s">
        <v>179</v>
      </c>
      <c r="C49" s="66" t="s">
        <v>323</v>
      </c>
      <c r="D49" s="29" t="s">
        <v>121</v>
      </c>
      <c r="E49" s="4" t="s">
        <v>207</v>
      </c>
      <c r="F49" s="30" t="s">
        <v>207</v>
      </c>
      <c r="G49" s="30" t="s">
        <v>208</v>
      </c>
      <c r="H49" s="165" t="s">
        <v>210</v>
      </c>
      <c r="I49" s="165" t="s">
        <v>211</v>
      </c>
      <c r="J49" s="165" t="s">
        <v>785</v>
      </c>
      <c r="K49" s="165" t="s">
        <v>784</v>
      </c>
      <c r="L49" s="165" t="s">
        <v>786</v>
      </c>
      <c r="M49" s="165">
        <v>1</v>
      </c>
      <c r="N49" s="174" t="s">
        <v>86</v>
      </c>
      <c r="O49" s="164" t="s">
        <v>385</v>
      </c>
      <c r="P49" s="188">
        <v>80000000</v>
      </c>
      <c r="Q49" s="175">
        <v>0</v>
      </c>
      <c r="R49" s="175">
        <v>0</v>
      </c>
      <c r="S49" s="175" t="s">
        <v>313</v>
      </c>
      <c r="T49" s="175" t="s">
        <v>314</v>
      </c>
      <c r="U49" s="176" t="s">
        <v>541</v>
      </c>
      <c r="V49" s="176">
        <v>3846666</v>
      </c>
      <c r="W49" s="177" t="s">
        <v>178</v>
      </c>
      <c r="X49" s="178" t="s">
        <v>27</v>
      </c>
      <c r="Y49" s="178" t="s">
        <v>222</v>
      </c>
      <c r="Z49" s="176"/>
      <c r="AA49" s="355">
        <v>20000000</v>
      </c>
      <c r="AB49" s="355">
        <f>70000000+996738</f>
        <v>70996738</v>
      </c>
      <c r="AC49" s="179">
        <f t="shared" si="0"/>
        <v>29003262</v>
      </c>
      <c r="AD49" s="199" t="s">
        <v>826</v>
      </c>
      <c r="AE49" s="201">
        <f>100000000-100000000+29004169</f>
        <v>29004169</v>
      </c>
      <c r="AF49" s="210">
        <f t="shared" si="1"/>
        <v>-907</v>
      </c>
      <c r="AG49" s="243">
        <v>33823</v>
      </c>
      <c r="AH49" s="368">
        <v>45211</v>
      </c>
      <c r="AI49" s="287">
        <v>29003262</v>
      </c>
      <c r="AJ49" s="236">
        <f t="shared" si="2"/>
        <v>0</v>
      </c>
      <c r="AK49" s="243" t="s">
        <v>855</v>
      </c>
      <c r="AL49" s="243" t="s">
        <v>856</v>
      </c>
      <c r="AM49" s="287">
        <v>29003262</v>
      </c>
      <c r="AN49" s="11" t="s">
        <v>816</v>
      </c>
      <c r="AQ49" s="402"/>
    </row>
    <row r="50" spans="1:43" ht="116.25" customHeight="1" x14ac:dyDescent="0.2">
      <c r="A50" s="186" t="s">
        <v>120</v>
      </c>
      <c r="B50" s="65" t="s">
        <v>179</v>
      </c>
      <c r="C50" s="66" t="s">
        <v>323</v>
      </c>
      <c r="D50" s="29" t="s">
        <v>121</v>
      </c>
      <c r="E50" s="4" t="s">
        <v>207</v>
      </c>
      <c r="F50" s="30" t="s">
        <v>207</v>
      </c>
      <c r="G50" s="30" t="s">
        <v>208</v>
      </c>
      <c r="H50" s="165" t="s">
        <v>212</v>
      </c>
      <c r="I50" s="165" t="s">
        <v>405</v>
      </c>
      <c r="J50" s="165">
        <v>3</v>
      </c>
      <c r="K50" s="165">
        <v>4</v>
      </c>
      <c r="L50" s="165">
        <v>2</v>
      </c>
      <c r="M50" s="165">
        <v>1</v>
      </c>
      <c r="N50" s="174" t="s">
        <v>86</v>
      </c>
      <c r="O50" s="164" t="s">
        <v>385</v>
      </c>
      <c r="P50" s="188">
        <v>20000000</v>
      </c>
      <c r="Q50" s="175">
        <v>0</v>
      </c>
      <c r="R50" s="175">
        <v>0</v>
      </c>
      <c r="S50" s="175" t="s">
        <v>313</v>
      </c>
      <c r="T50" s="175" t="s">
        <v>314</v>
      </c>
      <c r="U50" s="176" t="s">
        <v>541</v>
      </c>
      <c r="V50" s="176">
        <v>3846666</v>
      </c>
      <c r="W50" s="177" t="s">
        <v>178</v>
      </c>
      <c r="X50" s="178" t="s">
        <v>27</v>
      </c>
      <c r="Y50" s="178" t="s">
        <v>222</v>
      </c>
      <c r="Z50" s="176"/>
      <c r="AA50" s="176"/>
      <c r="AB50" s="355">
        <v>20000000</v>
      </c>
      <c r="AC50" s="179">
        <f t="shared" si="0"/>
        <v>0</v>
      </c>
      <c r="AD50" s="228"/>
      <c r="AE50" s="227"/>
      <c r="AF50" s="225">
        <f t="shared" si="1"/>
        <v>0</v>
      </c>
      <c r="AG50" s="243"/>
      <c r="AH50" s="243"/>
      <c r="AI50" s="287"/>
      <c r="AJ50" s="236">
        <f t="shared" si="2"/>
        <v>0</v>
      </c>
      <c r="AK50" s="243"/>
      <c r="AL50" s="243"/>
      <c r="AM50" s="281"/>
      <c r="AN50" s="13" t="s">
        <v>557</v>
      </c>
      <c r="AQ50" s="402"/>
    </row>
    <row r="51" spans="1:43" ht="116.25" customHeight="1" x14ac:dyDescent="0.2">
      <c r="A51" s="186" t="s">
        <v>120</v>
      </c>
      <c r="B51" s="65" t="s">
        <v>179</v>
      </c>
      <c r="C51" s="66" t="s">
        <v>323</v>
      </c>
      <c r="D51" s="29" t="s">
        <v>121</v>
      </c>
      <c r="E51" s="4" t="s">
        <v>207</v>
      </c>
      <c r="F51" s="7" t="s">
        <v>207</v>
      </c>
      <c r="G51" s="7" t="s">
        <v>209</v>
      </c>
      <c r="H51" s="42" t="s">
        <v>906</v>
      </c>
      <c r="I51" s="7">
        <v>43212104</v>
      </c>
      <c r="J51" s="95">
        <v>12</v>
      </c>
      <c r="K51" s="95">
        <v>12</v>
      </c>
      <c r="L51" s="95">
        <v>1</v>
      </c>
      <c r="M51" s="42">
        <v>1</v>
      </c>
      <c r="N51" s="95" t="s">
        <v>86</v>
      </c>
      <c r="O51" s="164" t="s">
        <v>312</v>
      </c>
      <c r="P51" s="188">
        <v>0</v>
      </c>
      <c r="Q51" s="97">
        <v>0</v>
      </c>
      <c r="R51" s="97">
        <v>0</v>
      </c>
      <c r="S51" s="97" t="s">
        <v>313</v>
      </c>
      <c r="T51" s="97" t="s">
        <v>314</v>
      </c>
      <c r="U51" s="98" t="s">
        <v>541</v>
      </c>
      <c r="V51" s="98">
        <v>3846666</v>
      </c>
      <c r="W51" s="96" t="s">
        <v>178</v>
      </c>
      <c r="X51" s="95" t="s">
        <v>26</v>
      </c>
      <c r="Y51" s="42" t="s">
        <v>222</v>
      </c>
      <c r="Z51" s="283">
        <v>142981618</v>
      </c>
      <c r="AA51" s="283"/>
      <c r="AB51" s="283">
        <f>43700197+3224+99278197</f>
        <v>142981618</v>
      </c>
      <c r="AC51" s="139">
        <f t="shared" ref="AC51:AC56" si="3">P51+Z51+AA51-AB51</f>
        <v>0</v>
      </c>
      <c r="AD51" s="199"/>
      <c r="AE51" s="201"/>
      <c r="AF51" s="210">
        <f t="shared" ref="AF51:AF56" si="4">+AC51-AE51</f>
        <v>0</v>
      </c>
      <c r="AG51" s="241"/>
      <c r="AH51" s="244"/>
      <c r="AI51" s="246"/>
      <c r="AJ51" s="240">
        <f t="shared" ref="AJ51:AJ56" si="5">+AC51-AI51</f>
        <v>0</v>
      </c>
      <c r="AK51" s="241"/>
      <c r="AL51" s="241"/>
      <c r="AM51" s="371"/>
      <c r="AN51" s="13" t="s">
        <v>815</v>
      </c>
      <c r="AQ51" s="402"/>
    </row>
    <row r="52" spans="1:43" ht="116.25" customHeight="1" x14ac:dyDescent="0.2">
      <c r="A52" s="186" t="s">
        <v>120</v>
      </c>
      <c r="B52" s="65" t="s">
        <v>179</v>
      </c>
      <c r="C52" s="66" t="s">
        <v>323</v>
      </c>
      <c r="D52" s="29" t="s">
        <v>121</v>
      </c>
      <c r="E52" s="4" t="s">
        <v>207</v>
      </c>
      <c r="F52" s="7" t="s">
        <v>207</v>
      </c>
      <c r="G52" s="7" t="s">
        <v>209</v>
      </c>
      <c r="H52" s="23" t="s">
        <v>906</v>
      </c>
      <c r="I52" s="7">
        <v>43212104</v>
      </c>
      <c r="J52" s="95">
        <v>12</v>
      </c>
      <c r="K52" s="95">
        <v>12</v>
      </c>
      <c r="L52" s="95">
        <v>1</v>
      </c>
      <c r="M52" s="42">
        <v>1</v>
      </c>
      <c r="N52" s="95" t="s">
        <v>86</v>
      </c>
      <c r="O52" s="164" t="s">
        <v>385</v>
      </c>
      <c r="P52" s="188">
        <v>0</v>
      </c>
      <c r="Q52" s="97">
        <v>0</v>
      </c>
      <c r="R52" s="97">
        <v>0</v>
      </c>
      <c r="S52" s="97" t="s">
        <v>313</v>
      </c>
      <c r="T52" s="97" t="s">
        <v>314</v>
      </c>
      <c r="U52" s="98" t="s">
        <v>541</v>
      </c>
      <c r="V52" s="98">
        <v>3846666</v>
      </c>
      <c r="W52" s="96" t="s">
        <v>178</v>
      </c>
      <c r="X52" s="95" t="s">
        <v>26</v>
      </c>
      <c r="Y52" s="42" t="s">
        <v>222</v>
      </c>
      <c r="Z52" s="283">
        <v>70996738</v>
      </c>
      <c r="AA52" s="283"/>
      <c r="AB52" s="334">
        <f>66717803+3172837</f>
        <v>69890640</v>
      </c>
      <c r="AC52" s="139">
        <f t="shared" si="3"/>
        <v>1106098</v>
      </c>
      <c r="AD52" s="199"/>
      <c r="AE52" s="201"/>
      <c r="AF52" s="210">
        <f t="shared" si="4"/>
        <v>1106098</v>
      </c>
      <c r="AG52" s="241"/>
      <c r="AH52" s="244"/>
      <c r="AI52" s="246"/>
      <c r="AJ52" s="240">
        <f t="shared" si="5"/>
        <v>1106098</v>
      </c>
      <c r="AK52" s="241"/>
      <c r="AL52" s="241"/>
      <c r="AM52" s="371"/>
      <c r="AN52" s="13" t="s">
        <v>815</v>
      </c>
      <c r="AQ52" s="402"/>
    </row>
    <row r="53" spans="1:43" ht="116.25" customHeight="1" x14ac:dyDescent="0.2">
      <c r="A53" s="186" t="s">
        <v>120</v>
      </c>
      <c r="B53" s="65" t="s">
        <v>179</v>
      </c>
      <c r="C53" s="66" t="s">
        <v>323</v>
      </c>
      <c r="D53" s="29" t="s">
        <v>121</v>
      </c>
      <c r="E53" s="4" t="s">
        <v>207</v>
      </c>
      <c r="F53" s="7" t="s">
        <v>207</v>
      </c>
      <c r="G53" s="7" t="s">
        <v>209</v>
      </c>
      <c r="H53" s="42" t="s">
        <v>906</v>
      </c>
      <c r="I53" s="7">
        <v>43212104</v>
      </c>
      <c r="J53" s="95">
        <v>12</v>
      </c>
      <c r="K53" s="95">
        <v>12</v>
      </c>
      <c r="L53" s="95">
        <v>1</v>
      </c>
      <c r="M53" s="42">
        <v>1</v>
      </c>
      <c r="N53" s="95" t="s">
        <v>86</v>
      </c>
      <c r="O53" s="164" t="s">
        <v>386</v>
      </c>
      <c r="P53" s="188">
        <v>0</v>
      </c>
      <c r="Q53" s="97">
        <v>0</v>
      </c>
      <c r="R53" s="97">
        <v>0</v>
      </c>
      <c r="S53" s="97" t="s">
        <v>313</v>
      </c>
      <c r="T53" s="97" t="s">
        <v>314</v>
      </c>
      <c r="U53" s="98" t="s">
        <v>541</v>
      </c>
      <c r="V53" s="98">
        <v>3846666</v>
      </c>
      <c r="W53" s="96" t="s">
        <v>178</v>
      </c>
      <c r="X53" s="95" t="s">
        <v>26</v>
      </c>
      <c r="Y53" s="42" t="s">
        <v>222</v>
      </c>
      <c r="Z53" s="283">
        <v>4000</v>
      </c>
      <c r="AA53" s="283"/>
      <c r="AB53" s="283">
        <v>4000</v>
      </c>
      <c r="AC53" s="139">
        <f t="shared" si="3"/>
        <v>0</v>
      </c>
      <c r="AD53" s="199"/>
      <c r="AE53" s="201"/>
      <c r="AF53" s="210">
        <f t="shared" si="4"/>
        <v>0</v>
      </c>
      <c r="AG53" s="241"/>
      <c r="AH53" s="244"/>
      <c r="AI53" s="246"/>
      <c r="AJ53" s="240">
        <f t="shared" si="5"/>
        <v>0</v>
      </c>
      <c r="AK53" s="241"/>
      <c r="AL53" s="241"/>
      <c r="AM53" s="371"/>
      <c r="AN53" s="13" t="s">
        <v>815</v>
      </c>
      <c r="AQ53" s="402"/>
    </row>
    <row r="54" spans="1:43" ht="116.25" customHeight="1" x14ac:dyDescent="0.2">
      <c r="A54" s="186" t="s">
        <v>120</v>
      </c>
      <c r="B54" s="65" t="s">
        <v>179</v>
      </c>
      <c r="C54" s="66" t="s">
        <v>323</v>
      </c>
      <c r="D54" s="29" t="s">
        <v>121</v>
      </c>
      <c r="E54" s="4" t="s">
        <v>207</v>
      </c>
      <c r="F54" s="7" t="s">
        <v>207</v>
      </c>
      <c r="G54" s="7" t="s">
        <v>209</v>
      </c>
      <c r="H54" s="42" t="s">
        <v>956</v>
      </c>
      <c r="I54" s="7" t="s">
        <v>957</v>
      </c>
      <c r="J54" s="95">
        <v>12</v>
      </c>
      <c r="K54" s="95">
        <v>12</v>
      </c>
      <c r="L54" s="95">
        <v>1</v>
      </c>
      <c r="M54" s="42">
        <v>1</v>
      </c>
      <c r="N54" s="95" t="s">
        <v>25</v>
      </c>
      <c r="O54" s="164" t="s">
        <v>312</v>
      </c>
      <c r="P54" s="188">
        <v>0</v>
      </c>
      <c r="Q54" s="97">
        <v>0</v>
      </c>
      <c r="R54" s="97">
        <v>0</v>
      </c>
      <c r="S54" s="97" t="s">
        <v>313</v>
      </c>
      <c r="T54" s="97" t="s">
        <v>314</v>
      </c>
      <c r="U54" s="98" t="s">
        <v>541</v>
      </c>
      <c r="V54" s="98">
        <v>3846666</v>
      </c>
      <c r="W54" s="96" t="s">
        <v>178</v>
      </c>
      <c r="X54" s="95" t="s">
        <v>958</v>
      </c>
      <c r="Y54" s="42" t="s">
        <v>222</v>
      </c>
      <c r="Z54" s="283">
        <v>99278197</v>
      </c>
      <c r="AA54" s="283"/>
      <c r="AB54" s="283"/>
      <c r="AC54" s="139">
        <f t="shared" si="3"/>
        <v>99278197</v>
      </c>
      <c r="AD54" s="199">
        <v>35823</v>
      </c>
      <c r="AE54" s="201">
        <v>99278197</v>
      </c>
      <c r="AF54" s="210">
        <f t="shared" si="4"/>
        <v>0</v>
      </c>
      <c r="AG54" s="241">
        <v>40323</v>
      </c>
      <c r="AH54" s="244">
        <v>45286</v>
      </c>
      <c r="AI54" s="246">
        <v>99278197</v>
      </c>
      <c r="AJ54" s="240">
        <f t="shared" si="5"/>
        <v>0</v>
      </c>
      <c r="AK54" s="241" t="s">
        <v>966</v>
      </c>
      <c r="AL54" s="245" t="s">
        <v>828</v>
      </c>
      <c r="AM54" s="371"/>
      <c r="AN54" s="13" t="s">
        <v>815</v>
      </c>
      <c r="AO54" s="8" t="s">
        <v>998</v>
      </c>
    </row>
    <row r="55" spans="1:43" ht="116.25" customHeight="1" x14ac:dyDescent="0.2">
      <c r="A55" s="186" t="s">
        <v>120</v>
      </c>
      <c r="B55" s="65" t="s">
        <v>179</v>
      </c>
      <c r="C55" s="66" t="s">
        <v>323</v>
      </c>
      <c r="D55" s="29" t="s">
        <v>121</v>
      </c>
      <c r="E55" s="4" t="s">
        <v>207</v>
      </c>
      <c r="F55" s="7" t="s">
        <v>207</v>
      </c>
      <c r="G55" s="7" t="s">
        <v>209</v>
      </c>
      <c r="H55" s="42" t="s">
        <v>956</v>
      </c>
      <c r="I55" s="7" t="s">
        <v>957</v>
      </c>
      <c r="J55" s="95">
        <v>12</v>
      </c>
      <c r="K55" s="95">
        <v>12</v>
      </c>
      <c r="L55" s="95">
        <v>1</v>
      </c>
      <c r="M55" s="42">
        <v>1</v>
      </c>
      <c r="N55" s="95" t="s">
        <v>25</v>
      </c>
      <c r="O55" s="164" t="s">
        <v>385</v>
      </c>
      <c r="P55" s="188">
        <v>0</v>
      </c>
      <c r="Q55" s="97">
        <v>0</v>
      </c>
      <c r="R55" s="97">
        <v>0</v>
      </c>
      <c r="S55" s="97" t="s">
        <v>313</v>
      </c>
      <c r="T55" s="97" t="s">
        <v>314</v>
      </c>
      <c r="U55" s="98" t="s">
        <v>541</v>
      </c>
      <c r="V55" s="98">
        <v>3846666</v>
      </c>
      <c r="W55" s="96" t="s">
        <v>178</v>
      </c>
      <c r="X55" s="95" t="s">
        <v>958</v>
      </c>
      <c r="Y55" s="42" t="s">
        <v>222</v>
      </c>
      <c r="Z55" s="283">
        <v>66717803</v>
      </c>
      <c r="AA55" s="283"/>
      <c r="AB55" s="98"/>
      <c r="AC55" s="139">
        <f t="shared" si="3"/>
        <v>66717803</v>
      </c>
      <c r="AD55" s="199">
        <v>35823</v>
      </c>
      <c r="AE55" s="201">
        <v>66717803</v>
      </c>
      <c r="AF55" s="210">
        <f t="shared" si="4"/>
        <v>0</v>
      </c>
      <c r="AG55" s="241">
        <v>40323</v>
      </c>
      <c r="AH55" s="244">
        <v>45286</v>
      </c>
      <c r="AI55" s="246">
        <v>66717803</v>
      </c>
      <c r="AJ55" s="240">
        <f t="shared" si="5"/>
        <v>0</v>
      </c>
      <c r="AK55" s="241" t="s">
        <v>966</v>
      </c>
      <c r="AL55" s="245" t="s">
        <v>828</v>
      </c>
      <c r="AM55" s="371"/>
      <c r="AN55" s="13" t="s">
        <v>815</v>
      </c>
      <c r="AO55" s="8" t="s">
        <v>998</v>
      </c>
    </row>
    <row r="56" spans="1:43" ht="116.25" customHeight="1" x14ac:dyDescent="0.2">
      <c r="A56" s="186" t="s">
        <v>120</v>
      </c>
      <c r="B56" s="65" t="s">
        <v>179</v>
      </c>
      <c r="C56" s="66" t="s">
        <v>323</v>
      </c>
      <c r="D56" s="29" t="s">
        <v>121</v>
      </c>
      <c r="E56" s="4" t="s">
        <v>207</v>
      </c>
      <c r="F56" s="7" t="s">
        <v>207</v>
      </c>
      <c r="G56" s="7" t="s">
        <v>209</v>
      </c>
      <c r="H56" s="42" t="s">
        <v>956</v>
      </c>
      <c r="I56" s="7" t="s">
        <v>957</v>
      </c>
      <c r="J56" s="95">
        <v>12</v>
      </c>
      <c r="K56" s="95">
        <v>12</v>
      </c>
      <c r="L56" s="95">
        <v>1</v>
      </c>
      <c r="M56" s="42">
        <v>1</v>
      </c>
      <c r="N56" s="95" t="s">
        <v>25</v>
      </c>
      <c r="O56" s="164" t="s">
        <v>386</v>
      </c>
      <c r="P56" s="188">
        <v>0</v>
      </c>
      <c r="Q56" s="97">
        <v>0</v>
      </c>
      <c r="R56" s="97">
        <v>0</v>
      </c>
      <c r="S56" s="97" t="s">
        <v>313</v>
      </c>
      <c r="T56" s="97" t="s">
        <v>314</v>
      </c>
      <c r="U56" s="98" t="s">
        <v>541</v>
      </c>
      <c r="V56" s="98">
        <v>3846666</v>
      </c>
      <c r="W56" s="96" t="s">
        <v>178</v>
      </c>
      <c r="X56" s="95" t="s">
        <v>958</v>
      </c>
      <c r="Y56" s="42" t="s">
        <v>222</v>
      </c>
      <c r="Z56" s="283">
        <v>4000</v>
      </c>
      <c r="AA56" s="283"/>
      <c r="AB56" s="98"/>
      <c r="AC56" s="139">
        <f t="shared" si="3"/>
        <v>4000</v>
      </c>
      <c r="AD56" s="199">
        <v>35823</v>
      </c>
      <c r="AE56" s="201">
        <v>4000</v>
      </c>
      <c r="AF56" s="210">
        <f t="shared" si="4"/>
        <v>0</v>
      </c>
      <c r="AG56" s="241">
        <v>40323</v>
      </c>
      <c r="AH56" s="244">
        <v>45286</v>
      </c>
      <c r="AI56" s="246">
        <v>4000</v>
      </c>
      <c r="AJ56" s="240">
        <f t="shared" si="5"/>
        <v>0</v>
      </c>
      <c r="AK56" s="241" t="s">
        <v>966</v>
      </c>
      <c r="AL56" s="245" t="s">
        <v>828</v>
      </c>
      <c r="AM56" s="371"/>
      <c r="AN56" s="13" t="s">
        <v>815</v>
      </c>
      <c r="AO56" s="8" t="s">
        <v>998</v>
      </c>
      <c r="AQ56" s="402"/>
    </row>
    <row r="57" spans="1:43" ht="116.25" customHeight="1" x14ac:dyDescent="0.2">
      <c r="A57" s="186" t="s">
        <v>120</v>
      </c>
      <c r="B57" s="65" t="s">
        <v>179</v>
      </c>
      <c r="C57" s="66" t="s">
        <v>323</v>
      </c>
      <c r="D57" s="29" t="s">
        <v>121</v>
      </c>
      <c r="E57" s="4" t="s">
        <v>207</v>
      </c>
      <c r="F57" s="7" t="s">
        <v>207</v>
      </c>
      <c r="G57" s="7" t="s">
        <v>209</v>
      </c>
      <c r="H57" s="42" t="s">
        <v>213</v>
      </c>
      <c r="I57" s="7" t="s">
        <v>214</v>
      </c>
      <c r="J57" s="95">
        <v>1</v>
      </c>
      <c r="K57" s="95">
        <v>1</v>
      </c>
      <c r="L57" s="95">
        <v>11</v>
      </c>
      <c r="M57" s="42">
        <v>1</v>
      </c>
      <c r="N57" s="95" t="s">
        <v>86</v>
      </c>
      <c r="O57" s="164" t="s">
        <v>312</v>
      </c>
      <c r="P57" s="188">
        <v>72000000</v>
      </c>
      <c r="Q57" s="97">
        <v>0</v>
      </c>
      <c r="R57" s="97">
        <v>0</v>
      </c>
      <c r="S57" s="97" t="s">
        <v>313</v>
      </c>
      <c r="T57" s="97" t="s">
        <v>314</v>
      </c>
      <c r="U57" s="98" t="s">
        <v>541</v>
      </c>
      <c r="V57" s="98">
        <v>3846666</v>
      </c>
      <c r="W57" s="96" t="s">
        <v>178</v>
      </c>
      <c r="X57" s="95" t="s">
        <v>26</v>
      </c>
      <c r="Y57" s="42" t="s">
        <v>222</v>
      </c>
      <c r="Z57" s="98"/>
      <c r="AA57" s="283">
        <v>36000000</v>
      </c>
      <c r="AB57" s="283">
        <v>36000000</v>
      </c>
      <c r="AC57" s="139">
        <f t="shared" si="0"/>
        <v>72000000</v>
      </c>
      <c r="AD57" s="199">
        <v>4623</v>
      </c>
      <c r="AE57" s="201">
        <v>72000000</v>
      </c>
      <c r="AF57" s="210">
        <f t="shared" si="1"/>
        <v>0</v>
      </c>
      <c r="AG57" s="241">
        <v>6123</v>
      </c>
      <c r="AH57" s="244">
        <v>44987</v>
      </c>
      <c r="AI57" s="246">
        <v>72000000</v>
      </c>
      <c r="AJ57" s="240">
        <f t="shared" si="2"/>
        <v>0</v>
      </c>
      <c r="AK57" s="241" t="s">
        <v>492</v>
      </c>
      <c r="AL57" s="241" t="s">
        <v>491</v>
      </c>
      <c r="AM57" s="371">
        <f>7634000.01+568884.08+881359.68+8585999.94+2367565.05+1734116.66+1004363.93+4604000.52+1929044.78+8068288.8+8068288.8+4660995.57+5723999.96</f>
        <v>55830907.780000001</v>
      </c>
      <c r="AN57" s="11" t="s">
        <v>816</v>
      </c>
      <c r="AO57" s="8" t="s">
        <v>998</v>
      </c>
      <c r="AP57" s="402"/>
    </row>
    <row r="58" spans="1:43" ht="116.25" customHeight="1" x14ac:dyDescent="0.2">
      <c r="A58" s="186" t="s">
        <v>120</v>
      </c>
      <c r="B58" s="65" t="s">
        <v>179</v>
      </c>
      <c r="C58" s="66" t="s">
        <v>323</v>
      </c>
      <c r="D58" s="29" t="s">
        <v>121</v>
      </c>
      <c r="E58" s="4" t="s">
        <v>207</v>
      </c>
      <c r="F58" s="7" t="s">
        <v>207</v>
      </c>
      <c r="G58" s="7" t="s">
        <v>209</v>
      </c>
      <c r="H58" s="42" t="s">
        <v>824</v>
      </c>
      <c r="I58" s="7">
        <v>43212107</v>
      </c>
      <c r="J58" s="95">
        <v>9</v>
      </c>
      <c r="K58" s="95">
        <v>9</v>
      </c>
      <c r="L58" s="95">
        <v>1</v>
      </c>
      <c r="M58" s="42">
        <v>1</v>
      </c>
      <c r="N58" s="95" t="s">
        <v>86</v>
      </c>
      <c r="O58" s="164" t="s">
        <v>385</v>
      </c>
      <c r="P58" s="188">
        <v>0</v>
      </c>
      <c r="Q58" s="97">
        <v>0</v>
      </c>
      <c r="R58" s="97">
        <v>0</v>
      </c>
      <c r="S58" s="97" t="s">
        <v>313</v>
      </c>
      <c r="T58" s="97" t="s">
        <v>314</v>
      </c>
      <c r="U58" s="98" t="s">
        <v>541</v>
      </c>
      <c r="V58" s="98">
        <v>3846666</v>
      </c>
      <c r="W58" s="96" t="s">
        <v>178</v>
      </c>
      <c r="X58" s="95" t="s">
        <v>26</v>
      </c>
      <c r="Y58" s="42" t="s">
        <v>531</v>
      </c>
      <c r="Z58" s="283">
        <v>70000000</v>
      </c>
      <c r="AA58" s="283"/>
      <c r="AB58" s="283">
        <v>70000000</v>
      </c>
      <c r="AC58" s="139">
        <f>P58+Z58+AA58-AB58</f>
        <v>0</v>
      </c>
      <c r="AD58" s="228"/>
      <c r="AE58" s="227"/>
      <c r="AF58" s="225">
        <f>+AC58-AE58</f>
        <v>0</v>
      </c>
      <c r="AG58" s="243"/>
      <c r="AH58" s="368"/>
      <c r="AI58" s="287"/>
      <c r="AJ58" s="236">
        <f>+AC58-AI58</f>
        <v>0</v>
      </c>
      <c r="AK58" s="243"/>
      <c r="AL58" s="243"/>
      <c r="AM58" s="390"/>
      <c r="AN58" s="13" t="s">
        <v>815</v>
      </c>
      <c r="AQ58" s="402"/>
    </row>
    <row r="59" spans="1:43" ht="116.25" customHeight="1" x14ac:dyDescent="0.2">
      <c r="A59" s="186" t="s">
        <v>120</v>
      </c>
      <c r="B59" s="65" t="s">
        <v>179</v>
      </c>
      <c r="C59" s="66" t="s">
        <v>323</v>
      </c>
      <c r="D59" s="29" t="s">
        <v>121</v>
      </c>
      <c r="E59" s="4" t="s">
        <v>207</v>
      </c>
      <c r="F59" s="7" t="s">
        <v>207</v>
      </c>
      <c r="G59" s="7" t="s">
        <v>209</v>
      </c>
      <c r="H59" s="42" t="s">
        <v>467</v>
      </c>
      <c r="I59" s="7" t="s">
        <v>214</v>
      </c>
      <c r="J59" s="7" t="s">
        <v>528</v>
      </c>
      <c r="K59" s="7" t="s">
        <v>528</v>
      </c>
      <c r="L59" s="7" t="s">
        <v>530</v>
      </c>
      <c r="M59" s="42" t="s">
        <v>529</v>
      </c>
      <c r="N59" s="95" t="s">
        <v>264</v>
      </c>
      <c r="O59" s="164" t="s">
        <v>312</v>
      </c>
      <c r="P59" s="188">
        <v>40300000</v>
      </c>
      <c r="Q59" s="97">
        <v>0</v>
      </c>
      <c r="R59" s="97">
        <v>0</v>
      </c>
      <c r="S59" s="97" t="s">
        <v>313</v>
      </c>
      <c r="T59" s="97" t="s">
        <v>314</v>
      </c>
      <c r="U59" s="98" t="s">
        <v>541</v>
      </c>
      <c r="V59" s="98">
        <v>3846666</v>
      </c>
      <c r="W59" s="96" t="s">
        <v>178</v>
      </c>
      <c r="X59" s="95" t="s">
        <v>26</v>
      </c>
      <c r="Y59" s="42" t="s">
        <v>531</v>
      </c>
      <c r="Z59" s="98"/>
      <c r="AA59" s="283">
        <v>4284945</v>
      </c>
      <c r="AB59" s="139">
        <f>13000000+946945</f>
        <v>13946945</v>
      </c>
      <c r="AC59" s="139">
        <f t="shared" si="0"/>
        <v>30638000</v>
      </c>
      <c r="AD59" s="199">
        <v>10223</v>
      </c>
      <c r="AE59" s="201">
        <f>31584945-946945</f>
        <v>30638000</v>
      </c>
      <c r="AF59" s="210">
        <f t="shared" si="1"/>
        <v>0</v>
      </c>
      <c r="AG59" s="241">
        <v>17023</v>
      </c>
      <c r="AH59" s="244">
        <v>45072</v>
      </c>
      <c r="AI59" s="246">
        <v>30638000</v>
      </c>
      <c r="AJ59" s="240">
        <f t="shared" si="2"/>
        <v>0</v>
      </c>
      <c r="AK59" s="241" t="s">
        <v>615</v>
      </c>
      <c r="AL59" s="241" t="s">
        <v>613</v>
      </c>
      <c r="AM59" s="371">
        <f>8578640+9791247+12268113</f>
        <v>30638000</v>
      </c>
      <c r="AN59" s="11" t="s">
        <v>907</v>
      </c>
      <c r="AQ59" s="402"/>
    </row>
    <row r="60" spans="1:43" ht="116.25" customHeight="1" x14ac:dyDescent="0.2">
      <c r="A60" s="186" t="s">
        <v>120</v>
      </c>
      <c r="B60" s="65" t="s">
        <v>179</v>
      </c>
      <c r="C60" s="66" t="s">
        <v>323</v>
      </c>
      <c r="D60" s="29" t="s">
        <v>121</v>
      </c>
      <c r="E60" s="4" t="s">
        <v>207</v>
      </c>
      <c r="F60" s="7" t="s">
        <v>207</v>
      </c>
      <c r="G60" s="7" t="s">
        <v>209</v>
      </c>
      <c r="H60" s="42" t="s">
        <v>468</v>
      </c>
      <c r="I60" s="7" t="s">
        <v>214</v>
      </c>
      <c r="J60" s="7" t="s">
        <v>528</v>
      </c>
      <c r="K60" s="7" t="s">
        <v>528</v>
      </c>
      <c r="L60" s="7" t="s">
        <v>543</v>
      </c>
      <c r="M60" s="42">
        <v>1</v>
      </c>
      <c r="N60" s="95" t="s">
        <v>264</v>
      </c>
      <c r="O60" s="164" t="s">
        <v>312</v>
      </c>
      <c r="P60" s="188">
        <v>0</v>
      </c>
      <c r="Q60" s="97">
        <v>0</v>
      </c>
      <c r="R60" s="97">
        <v>0</v>
      </c>
      <c r="S60" s="97" t="s">
        <v>313</v>
      </c>
      <c r="T60" s="97" t="s">
        <v>314</v>
      </c>
      <c r="U60" s="98" t="s">
        <v>541</v>
      </c>
      <c r="V60" s="98">
        <v>3846666</v>
      </c>
      <c r="W60" s="96" t="s">
        <v>178</v>
      </c>
      <c r="X60" s="95" t="s">
        <v>26</v>
      </c>
      <c r="Y60" s="42" t="s">
        <v>531</v>
      </c>
      <c r="Z60" s="139">
        <v>13000000</v>
      </c>
      <c r="AA60" s="283">
        <v>6855912</v>
      </c>
      <c r="AB60" s="283">
        <v>7905912</v>
      </c>
      <c r="AC60" s="139">
        <f>P60+Z60+AA60-AB60</f>
        <v>11950000</v>
      </c>
      <c r="AD60" s="199">
        <v>11123</v>
      </c>
      <c r="AE60" s="201">
        <f>19855912-7905912</f>
        <v>11950000</v>
      </c>
      <c r="AF60" s="210">
        <f>+AC60-AE60</f>
        <v>0</v>
      </c>
      <c r="AG60" s="241">
        <v>15823</v>
      </c>
      <c r="AH60" s="244">
        <v>45064</v>
      </c>
      <c r="AI60" s="246">
        <v>11950000</v>
      </c>
      <c r="AJ60" s="240">
        <f>+AC60-AI60</f>
        <v>0</v>
      </c>
      <c r="AK60" s="241" t="s">
        <v>614</v>
      </c>
      <c r="AL60" s="241" t="s">
        <v>613</v>
      </c>
      <c r="AM60" s="371">
        <f>1785000+1785000+8380000</f>
        <v>11950000</v>
      </c>
      <c r="AN60" s="11" t="s">
        <v>590</v>
      </c>
      <c r="AQ60" s="402"/>
    </row>
    <row r="61" spans="1:43" ht="119.25" customHeight="1" x14ac:dyDescent="0.2">
      <c r="A61" s="186" t="s">
        <v>120</v>
      </c>
      <c r="B61" s="65" t="s">
        <v>179</v>
      </c>
      <c r="C61" s="66" t="s">
        <v>323</v>
      </c>
      <c r="D61" s="29" t="s">
        <v>121</v>
      </c>
      <c r="E61" s="4" t="s">
        <v>207</v>
      </c>
      <c r="F61" s="7" t="s">
        <v>207</v>
      </c>
      <c r="G61" s="7" t="s">
        <v>209</v>
      </c>
      <c r="H61" s="42" t="s">
        <v>215</v>
      </c>
      <c r="I61" s="7" t="s">
        <v>214</v>
      </c>
      <c r="J61" s="7" t="s">
        <v>457</v>
      </c>
      <c r="K61" s="7" t="s">
        <v>769</v>
      </c>
      <c r="L61" s="7" t="s">
        <v>770</v>
      </c>
      <c r="M61" s="42" t="s">
        <v>423</v>
      </c>
      <c r="N61" s="95" t="s">
        <v>25</v>
      </c>
      <c r="O61" s="164" t="s">
        <v>312</v>
      </c>
      <c r="P61" s="188">
        <v>21000000</v>
      </c>
      <c r="Q61" s="97">
        <v>0</v>
      </c>
      <c r="R61" s="97">
        <v>0</v>
      </c>
      <c r="S61" s="97" t="s">
        <v>313</v>
      </c>
      <c r="T61" s="97" t="s">
        <v>314</v>
      </c>
      <c r="U61" s="98" t="s">
        <v>541</v>
      </c>
      <c r="V61" s="98">
        <v>3846666</v>
      </c>
      <c r="W61" s="96" t="s">
        <v>178</v>
      </c>
      <c r="X61" s="95" t="s">
        <v>26</v>
      </c>
      <c r="Y61" s="42" t="s">
        <v>222</v>
      </c>
      <c r="Z61" s="98"/>
      <c r="AA61" s="139">
        <f>6851602+22731000</f>
        <v>29582602</v>
      </c>
      <c r="AB61" s="283">
        <v>558213</v>
      </c>
      <c r="AC61" s="139">
        <f t="shared" si="0"/>
        <v>50024389</v>
      </c>
      <c r="AD61" s="199">
        <v>25723</v>
      </c>
      <c r="AE61" s="201">
        <v>50024389.380000003</v>
      </c>
      <c r="AF61" s="210">
        <f t="shared" si="1"/>
        <v>-0.38000000268220901</v>
      </c>
      <c r="AG61" s="241">
        <v>29023</v>
      </c>
      <c r="AH61" s="244">
        <v>45189</v>
      </c>
      <c r="AI61" s="246">
        <v>50024389</v>
      </c>
      <c r="AJ61" s="240">
        <f t="shared" si="2"/>
        <v>0</v>
      </c>
      <c r="AK61" s="241">
        <v>120</v>
      </c>
      <c r="AL61" s="245" t="s">
        <v>828</v>
      </c>
      <c r="AM61" s="371">
        <v>50024389</v>
      </c>
      <c r="AN61" s="11" t="s">
        <v>908</v>
      </c>
      <c r="AQ61" s="402"/>
    </row>
    <row r="62" spans="1:43" ht="277.5" customHeight="1" x14ac:dyDescent="0.2">
      <c r="A62" s="186" t="s">
        <v>120</v>
      </c>
      <c r="B62" s="65" t="s">
        <v>179</v>
      </c>
      <c r="C62" s="66" t="s">
        <v>323</v>
      </c>
      <c r="D62" s="29" t="s">
        <v>121</v>
      </c>
      <c r="E62" s="4" t="s">
        <v>207</v>
      </c>
      <c r="F62" s="7" t="s">
        <v>207</v>
      </c>
      <c r="G62" s="7" t="s">
        <v>209</v>
      </c>
      <c r="H62" s="42" t="s">
        <v>771</v>
      </c>
      <c r="I62" s="7" t="s">
        <v>684</v>
      </c>
      <c r="J62" s="7" t="s">
        <v>750</v>
      </c>
      <c r="K62" s="7" t="s">
        <v>751</v>
      </c>
      <c r="L62" s="7" t="s">
        <v>752</v>
      </c>
      <c r="M62" s="42">
        <v>1</v>
      </c>
      <c r="N62" s="7" t="s">
        <v>820</v>
      </c>
      <c r="O62" s="164" t="s">
        <v>312</v>
      </c>
      <c r="P62" s="188">
        <v>21000000</v>
      </c>
      <c r="Q62" s="97">
        <v>0</v>
      </c>
      <c r="R62" s="97">
        <v>0</v>
      </c>
      <c r="S62" s="97" t="s">
        <v>313</v>
      </c>
      <c r="T62" s="97" t="s">
        <v>314</v>
      </c>
      <c r="U62" s="98" t="s">
        <v>541</v>
      </c>
      <c r="V62" s="98">
        <v>3846666</v>
      </c>
      <c r="W62" s="96" t="s">
        <v>178</v>
      </c>
      <c r="X62" s="95" t="s">
        <v>26</v>
      </c>
      <c r="Y62" s="42" t="s">
        <v>531</v>
      </c>
      <c r="Z62" s="98"/>
      <c r="AA62" s="139">
        <f>6851602+2830000+4148398</f>
        <v>13830000</v>
      </c>
      <c r="AB62" s="283">
        <f>2830000+32000000</f>
        <v>34830000</v>
      </c>
      <c r="AC62" s="139">
        <f t="shared" si="0"/>
        <v>0</v>
      </c>
      <c r="AD62" s="229"/>
      <c r="AE62" s="227"/>
      <c r="AF62" s="225">
        <f t="shared" si="1"/>
        <v>0</v>
      </c>
      <c r="AG62" s="243"/>
      <c r="AH62" s="243"/>
      <c r="AI62" s="287"/>
      <c r="AJ62" s="236">
        <f t="shared" si="2"/>
        <v>0</v>
      </c>
      <c r="AK62" s="243"/>
      <c r="AL62" s="243"/>
      <c r="AM62" s="354"/>
      <c r="AN62" s="11" t="s">
        <v>908</v>
      </c>
      <c r="AQ62" s="402"/>
    </row>
    <row r="63" spans="1:43" ht="116.25" customHeight="1" x14ac:dyDescent="0.2">
      <c r="A63" s="186" t="s">
        <v>120</v>
      </c>
      <c r="B63" s="65" t="s">
        <v>179</v>
      </c>
      <c r="C63" s="66" t="s">
        <v>323</v>
      </c>
      <c r="D63" s="29" t="s">
        <v>121</v>
      </c>
      <c r="E63" s="4" t="s">
        <v>207</v>
      </c>
      <c r="F63" s="7" t="s">
        <v>207</v>
      </c>
      <c r="G63" s="7" t="s">
        <v>209</v>
      </c>
      <c r="H63" s="42" t="s">
        <v>683</v>
      </c>
      <c r="I63" s="7" t="s">
        <v>684</v>
      </c>
      <c r="J63" s="7">
        <v>7</v>
      </c>
      <c r="K63" s="7">
        <v>7</v>
      </c>
      <c r="L63" s="7">
        <v>6</v>
      </c>
      <c r="M63" s="42">
        <v>1</v>
      </c>
      <c r="N63" s="95" t="s">
        <v>722</v>
      </c>
      <c r="O63" s="164" t="s">
        <v>312</v>
      </c>
      <c r="P63" s="188">
        <v>0</v>
      </c>
      <c r="Q63" s="97">
        <v>0</v>
      </c>
      <c r="R63" s="97">
        <v>0</v>
      </c>
      <c r="S63" s="97" t="s">
        <v>313</v>
      </c>
      <c r="T63" s="97" t="s">
        <v>314</v>
      </c>
      <c r="U63" s="98" t="s">
        <v>541</v>
      </c>
      <c r="V63" s="98">
        <v>3846666</v>
      </c>
      <c r="W63" s="96" t="s">
        <v>178</v>
      </c>
      <c r="X63" s="7" t="s">
        <v>169</v>
      </c>
      <c r="Y63" s="42" t="s">
        <v>531</v>
      </c>
      <c r="Z63" s="283">
        <v>2830000</v>
      </c>
      <c r="AA63" s="139"/>
      <c r="AB63" s="283">
        <v>2830000</v>
      </c>
      <c r="AC63" s="139">
        <f>P63+Z63+AA63-AB63</f>
        <v>0</v>
      </c>
      <c r="AD63" s="229"/>
      <c r="AE63" s="227"/>
      <c r="AF63" s="225">
        <f>+AC63-AE63</f>
        <v>0</v>
      </c>
      <c r="AG63" s="243"/>
      <c r="AH63" s="243"/>
      <c r="AI63" s="287"/>
      <c r="AJ63" s="236">
        <f>+AC63-AI63</f>
        <v>0</v>
      </c>
      <c r="AK63" s="243"/>
      <c r="AL63" s="243"/>
      <c r="AM63" s="354"/>
      <c r="AN63" s="11" t="s">
        <v>557</v>
      </c>
      <c r="AQ63" s="402"/>
    </row>
    <row r="64" spans="1:43" ht="116.25" customHeight="1" x14ac:dyDescent="0.2">
      <c r="A64" s="186" t="s">
        <v>120</v>
      </c>
      <c r="B64" s="65" t="s">
        <v>179</v>
      </c>
      <c r="C64" s="66" t="s">
        <v>323</v>
      </c>
      <c r="D64" s="29" t="s">
        <v>121</v>
      </c>
      <c r="E64" s="4" t="s">
        <v>207</v>
      </c>
      <c r="F64" s="7" t="s">
        <v>207</v>
      </c>
      <c r="G64" s="7" t="s">
        <v>209</v>
      </c>
      <c r="H64" s="42" t="s">
        <v>216</v>
      </c>
      <c r="I64" s="7">
        <v>82121901</v>
      </c>
      <c r="J64" s="95">
        <v>1</v>
      </c>
      <c r="K64" s="95">
        <v>1</v>
      </c>
      <c r="L64" s="95" t="s">
        <v>402</v>
      </c>
      <c r="M64" s="42">
        <v>0</v>
      </c>
      <c r="N64" s="95" t="s">
        <v>25</v>
      </c>
      <c r="O64" s="164" t="s">
        <v>312</v>
      </c>
      <c r="P64" s="188">
        <f>2538090*11.5</f>
        <v>29188035</v>
      </c>
      <c r="Q64" s="97">
        <v>0</v>
      </c>
      <c r="R64" s="97">
        <v>0</v>
      </c>
      <c r="S64" s="97" t="s">
        <v>313</v>
      </c>
      <c r="T64" s="97" t="s">
        <v>314</v>
      </c>
      <c r="U64" s="98" t="s">
        <v>541</v>
      </c>
      <c r="V64" s="98">
        <v>3846666</v>
      </c>
      <c r="W64" s="96" t="s">
        <v>178</v>
      </c>
      <c r="X64" s="7" t="s">
        <v>169</v>
      </c>
      <c r="Y64" s="42" t="s">
        <v>222</v>
      </c>
      <c r="Z64" s="98"/>
      <c r="AA64" s="98"/>
      <c r="AB64" s="283">
        <v>84603</v>
      </c>
      <c r="AC64" s="139">
        <f t="shared" si="0"/>
        <v>29103432</v>
      </c>
      <c r="AD64" s="200" t="s">
        <v>578</v>
      </c>
      <c r="AE64" s="201">
        <f>10152360+19035675-84603</f>
        <v>29103432</v>
      </c>
      <c r="AF64" s="210">
        <f t="shared" si="1"/>
        <v>0</v>
      </c>
      <c r="AG64" s="241" t="s">
        <v>611</v>
      </c>
      <c r="AH64" s="255" t="s">
        <v>609</v>
      </c>
      <c r="AI64" s="288">
        <f>10152360+18951072</f>
        <v>29103432</v>
      </c>
      <c r="AJ64" s="240">
        <f t="shared" si="2"/>
        <v>0</v>
      </c>
      <c r="AK64" s="245" t="s">
        <v>612</v>
      </c>
      <c r="AL64" s="245" t="s">
        <v>991</v>
      </c>
      <c r="AM64" s="376">
        <f>1269045+2538090+2538090+2538090+1269045+1184442+2538090+2538090+2538090+2538090+2538090+2538090+2538090</f>
        <v>29103432</v>
      </c>
      <c r="AN64" s="11" t="s">
        <v>557</v>
      </c>
      <c r="AQ64" s="402"/>
    </row>
    <row r="65" spans="1:43" ht="116.25" customHeight="1" x14ac:dyDescent="0.2">
      <c r="A65" s="186" t="s">
        <v>120</v>
      </c>
      <c r="B65" s="65" t="s">
        <v>179</v>
      </c>
      <c r="C65" s="66" t="s">
        <v>323</v>
      </c>
      <c r="D65" s="29" t="s">
        <v>121</v>
      </c>
      <c r="E65" s="4" t="s">
        <v>207</v>
      </c>
      <c r="F65" s="7" t="s">
        <v>207</v>
      </c>
      <c r="G65" s="7" t="s">
        <v>209</v>
      </c>
      <c r="H65" s="23" t="s">
        <v>216</v>
      </c>
      <c r="I65" s="7">
        <v>82121901</v>
      </c>
      <c r="J65" s="95">
        <v>12</v>
      </c>
      <c r="K65" s="95">
        <v>12</v>
      </c>
      <c r="L65" s="95">
        <v>15</v>
      </c>
      <c r="M65" s="42">
        <v>0</v>
      </c>
      <c r="N65" s="95" t="s">
        <v>25</v>
      </c>
      <c r="O65" s="23" t="s">
        <v>385</v>
      </c>
      <c r="P65" s="188">
        <v>0</v>
      </c>
      <c r="Q65" s="97">
        <v>0</v>
      </c>
      <c r="R65" s="97">
        <v>0</v>
      </c>
      <c r="S65" s="97" t="s">
        <v>313</v>
      </c>
      <c r="T65" s="97" t="s">
        <v>314</v>
      </c>
      <c r="U65" s="98" t="s">
        <v>541</v>
      </c>
      <c r="V65" s="98">
        <v>3846666</v>
      </c>
      <c r="W65" s="96" t="s">
        <v>178</v>
      </c>
      <c r="X65" s="7" t="s">
        <v>169</v>
      </c>
      <c r="Y65" s="42" t="s">
        <v>222</v>
      </c>
      <c r="Z65" s="334">
        <v>1269045</v>
      </c>
      <c r="AA65" s="98"/>
      <c r="AB65" s="283"/>
      <c r="AC65" s="139">
        <f t="shared" ref="AC65" si="6">P65+Z65+AA65-AB65</f>
        <v>1269045</v>
      </c>
      <c r="AD65" s="200">
        <v>37023</v>
      </c>
      <c r="AE65" s="201">
        <v>1269045</v>
      </c>
      <c r="AF65" s="210">
        <f t="shared" si="1"/>
        <v>0</v>
      </c>
      <c r="AG65" s="241">
        <v>41623</v>
      </c>
      <c r="AH65" s="255">
        <v>45288</v>
      </c>
      <c r="AI65" s="288">
        <v>1269045</v>
      </c>
      <c r="AJ65" s="240">
        <f t="shared" ref="AJ65" si="7">+AC65-AI65</f>
        <v>0</v>
      </c>
      <c r="AK65" s="245" t="s">
        <v>990</v>
      </c>
      <c r="AL65" s="245" t="s">
        <v>991</v>
      </c>
      <c r="AM65" s="376"/>
      <c r="AN65" s="11" t="s">
        <v>815</v>
      </c>
      <c r="AO65" s="8" t="s">
        <v>998</v>
      </c>
    </row>
    <row r="66" spans="1:43" ht="116.25" customHeight="1" x14ac:dyDescent="0.2">
      <c r="A66" s="186" t="s">
        <v>120</v>
      </c>
      <c r="B66" s="65" t="s">
        <v>179</v>
      </c>
      <c r="C66" s="66" t="s">
        <v>323</v>
      </c>
      <c r="D66" s="29" t="s">
        <v>121</v>
      </c>
      <c r="E66" s="4" t="s">
        <v>207</v>
      </c>
      <c r="F66" s="7" t="s">
        <v>207</v>
      </c>
      <c r="G66" s="7" t="s">
        <v>209</v>
      </c>
      <c r="H66" s="42" t="s">
        <v>217</v>
      </c>
      <c r="I66" s="7">
        <v>82121901</v>
      </c>
      <c r="J66" s="95">
        <v>1</v>
      </c>
      <c r="K66" s="95">
        <v>1</v>
      </c>
      <c r="L66" s="95">
        <v>11</v>
      </c>
      <c r="M66" s="42">
        <v>1</v>
      </c>
      <c r="N66" s="95" t="s">
        <v>25</v>
      </c>
      <c r="O66" s="164" t="s">
        <v>312</v>
      </c>
      <c r="P66" s="188">
        <f>1903793*11</f>
        <v>20941723</v>
      </c>
      <c r="Q66" s="97">
        <v>0</v>
      </c>
      <c r="R66" s="97">
        <v>0</v>
      </c>
      <c r="S66" s="97" t="s">
        <v>313</v>
      </c>
      <c r="T66" s="97" t="s">
        <v>314</v>
      </c>
      <c r="U66" s="98" t="s">
        <v>541</v>
      </c>
      <c r="V66" s="98">
        <v>3846666</v>
      </c>
      <c r="W66" s="96" t="s">
        <v>178</v>
      </c>
      <c r="X66" s="7" t="s">
        <v>169</v>
      </c>
      <c r="Y66" s="42" t="s">
        <v>222</v>
      </c>
      <c r="Z66" s="98"/>
      <c r="AA66" s="98"/>
      <c r="AB66" s="283">
        <v>444218</v>
      </c>
      <c r="AC66" s="139">
        <f t="shared" si="0"/>
        <v>20497505</v>
      </c>
      <c r="AD66" s="204" t="s">
        <v>606</v>
      </c>
      <c r="AE66" s="210">
        <f>7615172-444218+13326551</f>
        <v>20497505</v>
      </c>
      <c r="AF66" s="210">
        <f t="shared" si="1"/>
        <v>0</v>
      </c>
      <c r="AG66" s="237" t="s">
        <v>633</v>
      </c>
      <c r="AH66" s="238" t="s">
        <v>634</v>
      </c>
      <c r="AI66" s="239">
        <f>7170954+13326551</f>
        <v>20497505</v>
      </c>
      <c r="AJ66" s="240">
        <f t="shared" si="2"/>
        <v>0</v>
      </c>
      <c r="AK66" s="245" t="s">
        <v>635</v>
      </c>
      <c r="AL66" s="242" t="s">
        <v>484</v>
      </c>
      <c r="AM66" s="376">
        <f>1459575+1903793+1903793+1903793+1903793+1903793+1903793+1903793+1903793+1903793+1903793</f>
        <v>20497505</v>
      </c>
      <c r="AN66" s="11" t="s">
        <v>557</v>
      </c>
      <c r="AQ66" s="402"/>
    </row>
    <row r="67" spans="1:43" ht="116.25" customHeight="1" x14ac:dyDescent="0.2">
      <c r="A67" s="186" t="s">
        <v>120</v>
      </c>
      <c r="B67" s="65" t="s">
        <v>179</v>
      </c>
      <c r="C67" s="66" t="s">
        <v>323</v>
      </c>
      <c r="D67" s="29" t="s">
        <v>121</v>
      </c>
      <c r="E67" s="4" t="s">
        <v>207</v>
      </c>
      <c r="F67" s="7" t="s">
        <v>207</v>
      </c>
      <c r="G67" s="7" t="s">
        <v>209</v>
      </c>
      <c r="H67" s="23" t="s">
        <v>217</v>
      </c>
      <c r="I67" s="7">
        <v>82121901</v>
      </c>
      <c r="J67" s="95">
        <v>12</v>
      </c>
      <c r="K67" s="95">
        <v>12</v>
      </c>
      <c r="L67" s="95">
        <v>15</v>
      </c>
      <c r="M67" s="42">
        <v>0</v>
      </c>
      <c r="N67" s="95" t="s">
        <v>25</v>
      </c>
      <c r="O67" s="23" t="s">
        <v>385</v>
      </c>
      <c r="P67" s="188">
        <v>0</v>
      </c>
      <c r="Q67" s="97">
        <v>0</v>
      </c>
      <c r="R67" s="97">
        <v>0</v>
      </c>
      <c r="S67" s="97" t="s">
        <v>313</v>
      </c>
      <c r="T67" s="97" t="s">
        <v>314</v>
      </c>
      <c r="U67" s="98" t="s">
        <v>541</v>
      </c>
      <c r="V67" s="98">
        <v>3846666</v>
      </c>
      <c r="W67" s="96" t="s">
        <v>178</v>
      </c>
      <c r="X67" s="7" t="s">
        <v>169</v>
      </c>
      <c r="Y67" s="42" t="s">
        <v>222</v>
      </c>
      <c r="Z67" s="334">
        <v>951896</v>
      </c>
      <c r="AA67" s="98"/>
      <c r="AB67" s="283"/>
      <c r="AC67" s="139">
        <f t="shared" ref="AC67:AC69" si="8">P67+Z67+AA67-AB67</f>
        <v>951896</v>
      </c>
      <c r="AD67" s="204">
        <v>36923</v>
      </c>
      <c r="AE67" s="210">
        <v>951896</v>
      </c>
      <c r="AF67" s="210">
        <f t="shared" ref="AF67" si="9">+AC67-AE67</f>
        <v>0</v>
      </c>
      <c r="AG67" s="237">
        <v>41423</v>
      </c>
      <c r="AH67" s="238">
        <v>45288</v>
      </c>
      <c r="AI67" s="239">
        <v>951896</v>
      </c>
      <c r="AJ67" s="240">
        <f t="shared" ref="AJ67" si="10">+AC67-AI67</f>
        <v>0</v>
      </c>
      <c r="AK67" s="245" t="s">
        <v>990</v>
      </c>
      <c r="AL67" s="242" t="s">
        <v>484</v>
      </c>
      <c r="AM67" s="376"/>
      <c r="AN67" s="11" t="s">
        <v>815</v>
      </c>
      <c r="AO67" s="8" t="s">
        <v>998</v>
      </c>
    </row>
    <row r="68" spans="1:43" ht="116.25" customHeight="1" x14ac:dyDescent="0.2">
      <c r="A68" s="186" t="s">
        <v>120</v>
      </c>
      <c r="B68" s="65" t="s">
        <v>179</v>
      </c>
      <c r="C68" s="66" t="s">
        <v>323</v>
      </c>
      <c r="D68" s="29" t="s">
        <v>121</v>
      </c>
      <c r="E68" s="4" t="s">
        <v>207</v>
      </c>
      <c r="F68" s="7" t="s">
        <v>207</v>
      </c>
      <c r="G68" s="7" t="s">
        <v>209</v>
      </c>
      <c r="H68" s="42" t="s">
        <v>469</v>
      </c>
      <c r="I68" s="7">
        <v>82121901</v>
      </c>
      <c r="J68" s="7" t="s">
        <v>592</v>
      </c>
      <c r="K68" s="7" t="s">
        <v>592</v>
      </c>
      <c r="L68" s="7" t="s">
        <v>593</v>
      </c>
      <c r="M68" s="42">
        <v>1</v>
      </c>
      <c r="N68" s="95" t="s">
        <v>25</v>
      </c>
      <c r="O68" s="164" t="s">
        <v>312</v>
      </c>
      <c r="P68" s="188">
        <f>2589302*11</f>
        <v>28482322</v>
      </c>
      <c r="Q68" s="97">
        <v>0</v>
      </c>
      <c r="R68" s="97">
        <v>0</v>
      </c>
      <c r="S68" s="97" t="s">
        <v>313</v>
      </c>
      <c r="T68" s="97" t="s">
        <v>314</v>
      </c>
      <c r="U68" s="98" t="s">
        <v>541</v>
      </c>
      <c r="V68" s="98">
        <v>3846666</v>
      </c>
      <c r="W68" s="96" t="s">
        <v>178</v>
      </c>
      <c r="X68" s="7" t="s">
        <v>169</v>
      </c>
      <c r="Y68" s="42" t="s">
        <v>222</v>
      </c>
      <c r="Z68" s="98"/>
      <c r="AA68" s="98"/>
      <c r="AB68" s="139">
        <f>1903793+7540599</f>
        <v>9444392</v>
      </c>
      <c r="AC68" s="139">
        <f t="shared" si="0"/>
        <v>19037930</v>
      </c>
      <c r="AD68" s="204" t="s">
        <v>607</v>
      </c>
      <c r="AE68" s="201">
        <f>7615172-1903793+13326551</f>
        <v>19037930</v>
      </c>
      <c r="AF68" s="210">
        <f t="shared" si="1"/>
        <v>0</v>
      </c>
      <c r="AG68" s="241" t="s">
        <v>629</v>
      </c>
      <c r="AH68" s="338" t="s">
        <v>630</v>
      </c>
      <c r="AI68" s="246">
        <f>5711379+13326551</f>
        <v>19037930</v>
      </c>
      <c r="AJ68" s="240">
        <f t="shared" si="2"/>
        <v>0</v>
      </c>
      <c r="AK68" s="245" t="s">
        <v>631</v>
      </c>
      <c r="AL68" s="241" t="s">
        <v>495</v>
      </c>
      <c r="AM68" s="376">
        <f>1903793+1903793+1903793+1903793+1903793+1903793+1903793+1903793+1903793+1903793</f>
        <v>19037930</v>
      </c>
      <c r="AN68" s="11" t="s">
        <v>560</v>
      </c>
      <c r="AQ68" s="402"/>
    </row>
    <row r="69" spans="1:43" ht="116.25" customHeight="1" x14ac:dyDescent="0.2">
      <c r="A69" s="186" t="s">
        <v>120</v>
      </c>
      <c r="B69" s="65" t="s">
        <v>179</v>
      </c>
      <c r="C69" s="66" t="s">
        <v>323</v>
      </c>
      <c r="D69" s="29" t="s">
        <v>121</v>
      </c>
      <c r="E69" s="4" t="s">
        <v>207</v>
      </c>
      <c r="F69" s="7" t="s">
        <v>207</v>
      </c>
      <c r="G69" s="7" t="s">
        <v>209</v>
      </c>
      <c r="H69" s="23" t="s">
        <v>469</v>
      </c>
      <c r="I69" s="7">
        <v>82121901</v>
      </c>
      <c r="J69" s="7">
        <v>12</v>
      </c>
      <c r="K69" s="7">
        <v>12</v>
      </c>
      <c r="L69" s="7">
        <v>15</v>
      </c>
      <c r="M69" s="42">
        <v>0</v>
      </c>
      <c r="N69" s="95" t="s">
        <v>25</v>
      </c>
      <c r="O69" s="23" t="s">
        <v>385</v>
      </c>
      <c r="P69" s="188">
        <v>0</v>
      </c>
      <c r="Q69" s="97">
        <v>0</v>
      </c>
      <c r="R69" s="97">
        <v>0</v>
      </c>
      <c r="S69" s="97" t="s">
        <v>313</v>
      </c>
      <c r="T69" s="97" t="s">
        <v>314</v>
      </c>
      <c r="U69" s="98" t="s">
        <v>541</v>
      </c>
      <c r="V69" s="98">
        <v>3846666</v>
      </c>
      <c r="W69" s="96" t="s">
        <v>178</v>
      </c>
      <c r="X69" s="7" t="s">
        <v>169</v>
      </c>
      <c r="Y69" s="42" t="s">
        <v>222</v>
      </c>
      <c r="Z69" s="334">
        <v>951896</v>
      </c>
      <c r="AA69" s="98"/>
      <c r="AB69" s="139"/>
      <c r="AC69" s="139">
        <f t="shared" si="8"/>
        <v>951896</v>
      </c>
      <c r="AD69" s="204">
        <v>36823</v>
      </c>
      <c r="AE69" s="201">
        <v>951896</v>
      </c>
      <c r="AF69" s="210">
        <f t="shared" ref="AF69" si="11">+AC69-AE69</f>
        <v>0</v>
      </c>
      <c r="AG69" s="241">
        <v>41523</v>
      </c>
      <c r="AH69" s="338">
        <v>45288</v>
      </c>
      <c r="AI69" s="246">
        <v>951896</v>
      </c>
      <c r="AJ69" s="240">
        <f t="shared" ref="AJ69" si="12">+AC69-AI69</f>
        <v>0</v>
      </c>
      <c r="AK69" s="245" t="s">
        <v>990</v>
      </c>
      <c r="AL69" s="241" t="s">
        <v>495</v>
      </c>
      <c r="AM69" s="376"/>
      <c r="AN69" s="11" t="s">
        <v>815</v>
      </c>
      <c r="AO69" s="8" t="s">
        <v>998</v>
      </c>
    </row>
    <row r="70" spans="1:43" ht="116.25" customHeight="1" x14ac:dyDescent="0.2">
      <c r="A70" s="186" t="s">
        <v>120</v>
      </c>
      <c r="B70" s="65" t="s">
        <v>179</v>
      </c>
      <c r="C70" s="66" t="s">
        <v>323</v>
      </c>
      <c r="D70" s="29" t="s">
        <v>121</v>
      </c>
      <c r="E70" s="4" t="s">
        <v>207</v>
      </c>
      <c r="F70" s="7" t="s">
        <v>207</v>
      </c>
      <c r="G70" s="7" t="s">
        <v>209</v>
      </c>
      <c r="H70" s="42" t="s">
        <v>218</v>
      </c>
      <c r="I70" s="7">
        <v>82121901</v>
      </c>
      <c r="J70" s="7" t="s">
        <v>457</v>
      </c>
      <c r="K70" s="7" t="s">
        <v>457</v>
      </c>
      <c r="L70" s="7">
        <v>1</v>
      </c>
      <c r="M70" s="42">
        <v>1</v>
      </c>
      <c r="N70" s="95" t="s">
        <v>25</v>
      </c>
      <c r="O70" s="164" t="s">
        <v>312</v>
      </c>
      <c r="P70" s="188">
        <v>0</v>
      </c>
      <c r="Q70" s="97">
        <v>0</v>
      </c>
      <c r="R70" s="97">
        <v>0</v>
      </c>
      <c r="S70" s="97" t="s">
        <v>313</v>
      </c>
      <c r="T70" s="97" t="s">
        <v>314</v>
      </c>
      <c r="U70" s="98" t="s">
        <v>541</v>
      </c>
      <c r="V70" s="98">
        <v>3846666</v>
      </c>
      <c r="W70" s="96" t="s">
        <v>178</v>
      </c>
      <c r="X70" s="42" t="s">
        <v>169</v>
      </c>
      <c r="Y70" s="42" t="s">
        <v>222</v>
      </c>
      <c r="Z70" s="139">
        <v>1903793</v>
      </c>
      <c r="AA70" s="98"/>
      <c r="AB70" s="98"/>
      <c r="AC70" s="139">
        <f>P70+Z70+AA70-AB70</f>
        <v>1903793</v>
      </c>
      <c r="AD70" s="204">
        <v>6523</v>
      </c>
      <c r="AE70" s="201">
        <v>1903793</v>
      </c>
      <c r="AF70" s="210">
        <f>+AC70-AE70</f>
        <v>0</v>
      </c>
      <c r="AG70" s="241">
        <v>6223</v>
      </c>
      <c r="AH70" s="244">
        <v>44987</v>
      </c>
      <c r="AI70" s="246">
        <v>1903793</v>
      </c>
      <c r="AJ70" s="240">
        <f>+AC70-AI70</f>
        <v>0</v>
      </c>
      <c r="AK70" s="241" t="s">
        <v>510</v>
      </c>
      <c r="AL70" s="245" t="s">
        <v>511</v>
      </c>
      <c r="AM70" s="373">
        <f>1903793</f>
        <v>1903793</v>
      </c>
      <c r="AN70" s="13" t="s">
        <v>421</v>
      </c>
      <c r="AQ70" s="402"/>
    </row>
    <row r="71" spans="1:43" ht="116.25" customHeight="1" x14ac:dyDescent="0.2">
      <c r="A71" s="186" t="s">
        <v>120</v>
      </c>
      <c r="B71" s="65" t="s">
        <v>179</v>
      </c>
      <c r="C71" s="66" t="s">
        <v>323</v>
      </c>
      <c r="D71" s="29" t="s">
        <v>121</v>
      </c>
      <c r="E71" s="4" t="s">
        <v>207</v>
      </c>
      <c r="F71" s="7" t="s">
        <v>207</v>
      </c>
      <c r="G71" s="7" t="s">
        <v>209</v>
      </c>
      <c r="H71" s="42" t="s">
        <v>589</v>
      </c>
      <c r="I71" s="7">
        <v>82121901</v>
      </c>
      <c r="J71" s="7" t="s">
        <v>594</v>
      </c>
      <c r="K71" s="7" t="s">
        <v>594</v>
      </c>
      <c r="L71" s="7" t="s">
        <v>595</v>
      </c>
      <c r="M71" s="7" t="s">
        <v>423</v>
      </c>
      <c r="N71" s="95" t="s">
        <v>25</v>
      </c>
      <c r="O71" s="164" t="s">
        <v>312</v>
      </c>
      <c r="P71" s="188">
        <f>1898238*11.5</f>
        <v>21829737</v>
      </c>
      <c r="Q71" s="97">
        <v>0</v>
      </c>
      <c r="R71" s="97">
        <v>0</v>
      </c>
      <c r="S71" s="97" t="s">
        <v>313</v>
      </c>
      <c r="T71" s="97" t="s">
        <v>314</v>
      </c>
      <c r="U71" s="98" t="s">
        <v>541</v>
      </c>
      <c r="V71" s="98">
        <v>3846666</v>
      </c>
      <c r="W71" s="96" t="s">
        <v>178</v>
      </c>
      <c r="X71" s="7" t="s">
        <v>169</v>
      </c>
      <c r="Y71" s="42" t="s">
        <v>222</v>
      </c>
      <c r="Z71" s="98"/>
      <c r="AA71" s="139">
        <v>6089253</v>
      </c>
      <c r="AB71" s="283">
        <f>1269786+10376752+1084830</f>
        <v>12731368</v>
      </c>
      <c r="AC71" s="139">
        <f t="shared" si="0"/>
        <v>15187622</v>
      </c>
      <c r="AD71" s="202">
        <v>19223</v>
      </c>
      <c r="AE71" s="201">
        <v>15187622</v>
      </c>
      <c r="AF71" s="210">
        <f t="shared" si="1"/>
        <v>0</v>
      </c>
      <c r="AG71" s="241">
        <v>21623</v>
      </c>
      <c r="AH71" s="244">
        <v>45092</v>
      </c>
      <c r="AI71" s="246">
        <v>15187622</v>
      </c>
      <c r="AJ71" s="240">
        <f t="shared" si="2"/>
        <v>0</v>
      </c>
      <c r="AK71" s="241" t="s">
        <v>715</v>
      </c>
      <c r="AL71" s="241" t="s">
        <v>716</v>
      </c>
      <c r="AM71" s="371">
        <f>1239806+2324636+2324636+2324636+2324636+2324636+2324636</f>
        <v>15187622</v>
      </c>
      <c r="AN71" s="11" t="s">
        <v>560</v>
      </c>
      <c r="AQ71" s="402"/>
    </row>
    <row r="72" spans="1:43" ht="116.25" customHeight="1" x14ac:dyDescent="0.2">
      <c r="A72" s="186" t="s">
        <v>120</v>
      </c>
      <c r="B72" s="65" t="s">
        <v>179</v>
      </c>
      <c r="C72" s="66" t="s">
        <v>323</v>
      </c>
      <c r="D72" s="29" t="s">
        <v>121</v>
      </c>
      <c r="E72" s="4" t="s">
        <v>207</v>
      </c>
      <c r="F72" s="7" t="s">
        <v>207</v>
      </c>
      <c r="G72" s="7" t="s">
        <v>209</v>
      </c>
      <c r="H72" s="42" t="s">
        <v>219</v>
      </c>
      <c r="I72" s="7">
        <v>82121901</v>
      </c>
      <c r="J72" s="95">
        <v>1</v>
      </c>
      <c r="K72" s="95">
        <v>1</v>
      </c>
      <c r="L72" s="95" t="s">
        <v>402</v>
      </c>
      <c r="M72" s="42">
        <v>0</v>
      </c>
      <c r="N72" s="95" t="s">
        <v>25</v>
      </c>
      <c r="O72" s="164" t="s">
        <v>312</v>
      </c>
      <c r="P72" s="188">
        <v>32335183</v>
      </c>
      <c r="Q72" s="97">
        <v>0</v>
      </c>
      <c r="R72" s="97">
        <v>0</v>
      </c>
      <c r="S72" s="97" t="s">
        <v>313</v>
      </c>
      <c r="T72" s="97" t="s">
        <v>314</v>
      </c>
      <c r="U72" s="98" t="s">
        <v>541</v>
      </c>
      <c r="V72" s="98">
        <v>3846666</v>
      </c>
      <c r="W72" s="96" t="s">
        <v>178</v>
      </c>
      <c r="X72" s="7" t="s">
        <v>169</v>
      </c>
      <c r="Y72" s="42" t="s">
        <v>222</v>
      </c>
      <c r="Z72" s="98"/>
      <c r="AA72" s="98"/>
      <c r="AB72" s="283">
        <v>93727</v>
      </c>
      <c r="AC72" s="139">
        <f t="shared" si="0"/>
        <v>32241456</v>
      </c>
      <c r="AD72" s="202" t="s">
        <v>579</v>
      </c>
      <c r="AE72" s="201">
        <f>11247019+21088164-93727</f>
        <v>32241456</v>
      </c>
      <c r="AF72" s="210">
        <f t="shared" si="1"/>
        <v>0</v>
      </c>
      <c r="AG72" s="241" t="s">
        <v>608</v>
      </c>
      <c r="AH72" s="255" t="s">
        <v>609</v>
      </c>
      <c r="AI72" s="246">
        <f>11247019+20994437</f>
        <v>32241456</v>
      </c>
      <c r="AJ72" s="240">
        <f t="shared" si="2"/>
        <v>0</v>
      </c>
      <c r="AK72" s="245" t="s">
        <v>610</v>
      </c>
      <c r="AL72" s="245" t="s">
        <v>426</v>
      </c>
      <c r="AM72" s="371">
        <f>1405877+2811755+2811755+2811755+1405877+1312152+2811755+2811755+2811755+2811755+2811755+2811755+2811755</f>
        <v>32241456</v>
      </c>
      <c r="AN72" s="13" t="s">
        <v>557</v>
      </c>
      <c r="AQ72" s="402"/>
    </row>
    <row r="73" spans="1:43" ht="116.25" customHeight="1" x14ac:dyDescent="0.2">
      <c r="A73" s="186" t="s">
        <v>120</v>
      </c>
      <c r="B73" s="65" t="s">
        <v>179</v>
      </c>
      <c r="C73" s="66" t="s">
        <v>323</v>
      </c>
      <c r="D73" s="29" t="s">
        <v>121</v>
      </c>
      <c r="E73" s="4" t="s">
        <v>207</v>
      </c>
      <c r="F73" s="7" t="s">
        <v>207</v>
      </c>
      <c r="G73" s="7" t="s">
        <v>209</v>
      </c>
      <c r="H73" s="42" t="s">
        <v>591</v>
      </c>
      <c r="I73" s="7">
        <v>82121901</v>
      </c>
      <c r="J73" s="95">
        <v>6</v>
      </c>
      <c r="K73" s="95">
        <v>6</v>
      </c>
      <c r="L73" s="95">
        <v>7</v>
      </c>
      <c r="M73" s="42">
        <v>1</v>
      </c>
      <c r="N73" s="95" t="s">
        <v>25</v>
      </c>
      <c r="O73" s="164" t="s">
        <v>312</v>
      </c>
      <c r="P73" s="188">
        <v>0</v>
      </c>
      <c r="Q73" s="97">
        <v>0</v>
      </c>
      <c r="R73" s="97">
        <v>0</v>
      </c>
      <c r="S73" s="97" t="s">
        <v>313</v>
      </c>
      <c r="T73" s="97" t="s">
        <v>314</v>
      </c>
      <c r="U73" s="98" t="s">
        <v>541</v>
      </c>
      <c r="V73" s="98">
        <v>3846666</v>
      </c>
      <c r="W73" s="96" t="s">
        <v>178</v>
      </c>
      <c r="X73" s="7" t="s">
        <v>169</v>
      </c>
      <c r="Y73" s="42" t="s">
        <v>222</v>
      </c>
      <c r="Z73" s="283">
        <v>13326551</v>
      </c>
      <c r="AA73" s="98"/>
      <c r="AB73" s="98"/>
      <c r="AC73" s="139">
        <f>P73+Z73+AA73-AB73</f>
        <v>13326551</v>
      </c>
      <c r="AD73" s="202">
        <v>17723</v>
      </c>
      <c r="AE73" s="201">
        <v>13326551</v>
      </c>
      <c r="AF73" s="210">
        <f>+AC73-AE73</f>
        <v>0</v>
      </c>
      <c r="AG73" s="241">
        <v>18023</v>
      </c>
      <c r="AH73" s="244">
        <v>45078</v>
      </c>
      <c r="AI73" s="246">
        <v>13326551</v>
      </c>
      <c r="AJ73" s="240">
        <f>+AC73-AI73</f>
        <v>0</v>
      </c>
      <c r="AK73" s="241" t="s">
        <v>632</v>
      </c>
      <c r="AL73" s="245" t="s">
        <v>511</v>
      </c>
      <c r="AM73" s="371">
        <f>1903793+1903793+1903793+1903793+1903793+1903793+1903793</f>
        <v>13326551</v>
      </c>
      <c r="AN73" s="13" t="s">
        <v>557</v>
      </c>
      <c r="AQ73" s="402"/>
    </row>
    <row r="74" spans="1:43" ht="254.25" customHeight="1" x14ac:dyDescent="0.2">
      <c r="A74" s="186" t="s">
        <v>120</v>
      </c>
      <c r="B74" s="65" t="s">
        <v>179</v>
      </c>
      <c r="C74" s="66" t="s">
        <v>323</v>
      </c>
      <c r="D74" s="29" t="s">
        <v>121</v>
      </c>
      <c r="E74" s="4" t="s">
        <v>207</v>
      </c>
      <c r="F74" s="7" t="s">
        <v>207</v>
      </c>
      <c r="G74" s="7" t="s">
        <v>209</v>
      </c>
      <c r="H74" s="42" t="s">
        <v>455</v>
      </c>
      <c r="I74" s="42">
        <v>82121901</v>
      </c>
      <c r="J74" s="100">
        <v>1</v>
      </c>
      <c r="K74" s="100">
        <v>1</v>
      </c>
      <c r="L74" s="100">
        <v>6</v>
      </c>
      <c r="M74" s="42">
        <v>1</v>
      </c>
      <c r="N74" s="100" t="s">
        <v>25</v>
      </c>
      <c r="O74" s="164" t="s">
        <v>312</v>
      </c>
      <c r="P74" s="188">
        <f>2324636*6</f>
        <v>13947816</v>
      </c>
      <c r="Q74" s="97">
        <v>0</v>
      </c>
      <c r="R74" s="97">
        <v>0</v>
      </c>
      <c r="S74" s="97" t="s">
        <v>313</v>
      </c>
      <c r="T74" s="97" t="s">
        <v>314</v>
      </c>
      <c r="U74" s="98" t="s">
        <v>541</v>
      </c>
      <c r="V74" s="98">
        <v>3846666</v>
      </c>
      <c r="W74" s="96" t="s">
        <v>178</v>
      </c>
      <c r="X74" s="42" t="s">
        <v>169</v>
      </c>
      <c r="Y74" s="42" t="s">
        <v>222</v>
      </c>
      <c r="Z74" s="98"/>
      <c r="AA74" s="98"/>
      <c r="AB74" s="139">
        <v>13947816</v>
      </c>
      <c r="AC74" s="139">
        <f t="shared" si="0"/>
        <v>0</v>
      </c>
      <c r="AD74" s="229"/>
      <c r="AE74" s="227"/>
      <c r="AF74" s="225">
        <f t="shared" si="1"/>
        <v>0</v>
      </c>
      <c r="AG74" s="243"/>
      <c r="AH74" s="243"/>
      <c r="AI74" s="287"/>
      <c r="AJ74" s="236">
        <f t="shared" si="2"/>
        <v>0</v>
      </c>
      <c r="AK74" s="243"/>
      <c r="AL74" s="243"/>
      <c r="AM74" s="354"/>
      <c r="AN74" s="13" t="s">
        <v>456</v>
      </c>
      <c r="AQ74" s="402"/>
    </row>
    <row r="75" spans="1:43" ht="252" customHeight="1" x14ac:dyDescent="0.2">
      <c r="A75" s="186" t="s">
        <v>120</v>
      </c>
      <c r="B75" s="65" t="s">
        <v>179</v>
      </c>
      <c r="C75" s="66" t="s">
        <v>323</v>
      </c>
      <c r="D75" s="29" t="s">
        <v>121</v>
      </c>
      <c r="E75" s="4" t="s">
        <v>207</v>
      </c>
      <c r="F75" s="7" t="s">
        <v>207</v>
      </c>
      <c r="G75" s="7" t="s">
        <v>209</v>
      </c>
      <c r="H75" s="42" t="s">
        <v>819</v>
      </c>
      <c r="I75" s="7">
        <v>82121901</v>
      </c>
      <c r="J75" s="95">
        <v>7</v>
      </c>
      <c r="K75" s="7" t="s">
        <v>776</v>
      </c>
      <c r="L75" s="95">
        <v>1</v>
      </c>
      <c r="M75" s="42">
        <v>1</v>
      </c>
      <c r="N75" s="100" t="s">
        <v>25</v>
      </c>
      <c r="O75" s="164" t="s">
        <v>312</v>
      </c>
      <c r="P75" s="188">
        <f>1622000*10</f>
        <v>16220000</v>
      </c>
      <c r="Q75" s="97">
        <v>0</v>
      </c>
      <c r="R75" s="97">
        <v>0</v>
      </c>
      <c r="S75" s="97" t="s">
        <v>313</v>
      </c>
      <c r="T75" s="97" t="s">
        <v>314</v>
      </c>
      <c r="U75" s="98" t="s">
        <v>541</v>
      </c>
      <c r="V75" s="98">
        <v>3846666</v>
      </c>
      <c r="W75" s="96" t="s">
        <v>178</v>
      </c>
      <c r="X75" s="7" t="s">
        <v>169</v>
      </c>
      <c r="Y75" s="42" t="s">
        <v>222</v>
      </c>
      <c r="Z75" s="98"/>
      <c r="AA75" s="283">
        <f>4153455+10186727+1000000</f>
        <v>15340182</v>
      </c>
      <c r="AB75" s="283">
        <v>6619442</v>
      </c>
      <c r="AC75" s="139">
        <f t="shared" si="0"/>
        <v>24940740</v>
      </c>
      <c r="AD75" s="202">
        <v>28923</v>
      </c>
      <c r="AE75" s="201">
        <f>30560182+1000000</f>
        <v>31560182</v>
      </c>
      <c r="AF75" s="210">
        <f t="shared" si="1"/>
        <v>-6619442</v>
      </c>
      <c r="AG75" s="245" t="s">
        <v>845</v>
      </c>
      <c r="AH75" s="255" t="s">
        <v>846</v>
      </c>
      <c r="AI75" s="246">
        <f>2105303+2105303+2105303+2105303+2105303+2105303+2105303+1903793+2105303+2105303+2105303+1983917</f>
        <v>24940740</v>
      </c>
      <c r="AJ75" s="240">
        <f t="shared" si="2"/>
        <v>0</v>
      </c>
      <c r="AK75" s="245" t="s">
        <v>847</v>
      </c>
      <c r="AL75" s="245" t="s">
        <v>848</v>
      </c>
      <c r="AM75" s="371">
        <f>2105303+2105303+2105303+2105303+2105303+2105303+2105303+2105303+2105303+2105303+1983917+1903793</f>
        <v>24940740</v>
      </c>
      <c r="AN75" s="11" t="s">
        <v>816</v>
      </c>
      <c r="AQ75" s="402"/>
    </row>
    <row r="76" spans="1:43" ht="116.25" customHeight="1" x14ac:dyDescent="0.2">
      <c r="A76" s="186" t="s">
        <v>120</v>
      </c>
      <c r="B76" s="65" t="s">
        <v>179</v>
      </c>
      <c r="C76" s="66" t="s">
        <v>323</v>
      </c>
      <c r="D76" s="29" t="s">
        <v>121</v>
      </c>
      <c r="E76" s="4" t="s">
        <v>207</v>
      </c>
      <c r="F76" s="7" t="s">
        <v>207</v>
      </c>
      <c r="G76" s="7" t="s">
        <v>209</v>
      </c>
      <c r="H76" s="42" t="s">
        <v>220</v>
      </c>
      <c r="I76" s="7">
        <v>82121901</v>
      </c>
      <c r="J76" s="95">
        <v>7</v>
      </c>
      <c r="K76" s="95">
        <v>8</v>
      </c>
      <c r="L76" s="95">
        <v>1</v>
      </c>
      <c r="M76" s="42">
        <v>1</v>
      </c>
      <c r="N76" s="100" t="s">
        <v>25</v>
      </c>
      <c r="O76" s="164" t="s">
        <v>312</v>
      </c>
      <c r="P76" s="188">
        <v>1600000</v>
      </c>
      <c r="Q76" s="97">
        <v>0</v>
      </c>
      <c r="R76" s="97">
        <v>0</v>
      </c>
      <c r="S76" s="97" t="s">
        <v>313</v>
      </c>
      <c r="T76" s="97" t="s">
        <v>314</v>
      </c>
      <c r="U76" s="98" t="s">
        <v>541</v>
      </c>
      <c r="V76" s="98">
        <v>3846666</v>
      </c>
      <c r="W76" s="96" t="s">
        <v>178</v>
      </c>
      <c r="X76" s="7" t="s">
        <v>169</v>
      </c>
      <c r="Y76" s="42" t="s">
        <v>222</v>
      </c>
      <c r="Z76" s="98"/>
      <c r="AA76" s="283">
        <f>437345+2037345</f>
        <v>2474690</v>
      </c>
      <c r="AB76" s="283">
        <v>322510</v>
      </c>
      <c r="AC76" s="139">
        <f t="shared" si="0"/>
        <v>3752180</v>
      </c>
      <c r="AD76" s="229">
        <v>30323</v>
      </c>
      <c r="AE76" s="227">
        <v>4074690</v>
      </c>
      <c r="AF76" s="225">
        <f t="shared" si="1"/>
        <v>-322510</v>
      </c>
      <c r="AG76" s="228" t="s">
        <v>849</v>
      </c>
      <c r="AH76" s="364" t="s">
        <v>850</v>
      </c>
      <c r="AI76" s="287">
        <f>2105303+1646877</f>
        <v>3752180</v>
      </c>
      <c r="AJ76" s="236">
        <f t="shared" si="2"/>
        <v>0</v>
      </c>
      <c r="AK76" s="228" t="s">
        <v>852</v>
      </c>
      <c r="AL76" s="228" t="s">
        <v>851</v>
      </c>
      <c r="AM76" s="380">
        <f>2105303+1646877</f>
        <v>3752180</v>
      </c>
      <c r="AN76" s="11" t="s">
        <v>816</v>
      </c>
      <c r="AQ76" s="402"/>
    </row>
    <row r="77" spans="1:43" ht="167.25" customHeight="1" x14ac:dyDescent="0.2">
      <c r="A77" s="186" t="s">
        <v>120</v>
      </c>
      <c r="B77" s="65" t="s">
        <v>179</v>
      </c>
      <c r="C77" s="66" t="s">
        <v>323</v>
      </c>
      <c r="D77" s="29" t="s">
        <v>121</v>
      </c>
      <c r="E77" s="4" t="s">
        <v>207</v>
      </c>
      <c r="F77" s="7" t="s">
        <v>207</v>
      </c>
      <c r="G77" s="7" t="s">
        <v>209</v>
      </c>
      <c r="H77" s="7" t="s">
        <v>384</v>
      </c>
      <c r="I77" s="7">
        <v>80111600</v>
      </c>
      <c r="J77" s="7">
        <v>1</v>
      </c>
      <c r="K77" s="7">
        <v>1</v>
      </c>
      <c r="L77" s="7">
        <v>4</v>
      </c>
      <c r="M77" s="7">
        <v>1</v>
      </c>
      <c r="N77" s="7" t="s">
        <v>25</v>
      </c>
      <c r="O77" s="191" t="s">
        <v>312</v>
      </c>
      <c r="P77" s="190">
        <v>15826000</v>
      </c>
      <c r="Q77" s="7">
        <v>0</v>
      </c>
      <c r="R77" s="7">
        <v>0</v>
      </c>
      <c r="S77" s="7" t="s">
        <v>313</v>
      </c>
      <c r="T77" s="7" t="s">
        <v>314</v>
      </c>
      <c r="U77" s="98" t="s">
        <v>541</v>
      </c>
      <c r="V77" s="7">
        <v>3846666</v>
      </c>
      <c r="W77" s="96" t="s">
        <v>178</v>
      </c>
      <c r="X77" s="7" t="s">
        <v>496</v>
      </c>
      <c r="Y77" s="42" t="s">
        <v>541</v>
      </c>
      <c r="Z77" s="7"/>
      <c r="AA77" s="7"/>
      <c r="AB77" s="139">
        <f>10447091+5378909</f>
        <v>15826000</v>
      </c>
      <c r="AC77" s="139">
        <f t="shared" si="0"/>
        <v>0</v>
      </c>
      <c r="AD77" s="230"/>
      <c r="AE77" s="227"/>
      <c r="AF77" s="225">
        <f t="shared" si="1"/>
        <v>0</v>
      </c>
      <c r="AG77" s="243"/>
      <c r="AH77" s="243"/>
      <c r="AI77" s="287"/>
      <c r="AJ77" s="236">
        <f t="shared" si="2"/>
        <v>0</v>
      </c>
      <c r="AK77" s="243"/>
      <c r="AL77" s="243"/>
      <c r="AM77" s="354"/>
      <c r="AN77" s="13" t="s">
        <v>557</v>
      </c>
      <c r="AQ77" s="402"/>
    </row>
    <row r="78" spans="1:43" ht="219" customHeight="1" x14ac:dyDescent="0.2">
      <c r="A78" s="186" t="s">
        <v>120</v>
      </c>
      <c r="B78" s="65" t="s">
        <v>179</v>
      </c>
      <c r="C78" s="66" t="s">
        <v>323</v>
      </c>
      <c r="D78" s="29" t="s">
        <v>121</v>
      </c>
      <c r="E78" s="4" t="s">
        <v>207</v>
      </c>
      <c r="F78" s="7" t="s">
        <v>207</v>
      </c>
      <c r="G78" s="7" t="s">
        <v>209</v>
      </c>
      <c r="H78" s="42" t="s">
        <v>466</v>
      </c>
      <c r="I78" s="7" t="s">
        <v>221</v>
      </c>
      <c r="J78" s="7" t="s">
        <v>544</v>
      </c>
      <c r="K78" s="7" t="s">
        <v>544</v>
      </c>
      <c r="L78" s="7" t="s">
        <v>545</v>
      </c>
      <c r="M78" s="42">
        <v>0</v>
      </c>
      <c r="N78" s="7" t="s">
        <v>546</v>
      </c>
      <c r="O78" s="164" t="s">
        <v>312</v>
      </c>
      <c r="P78" s="188">
        <v>12000000</v>
      </c>
      <c r="Q78" s="97">
        <v>0</v>
      </c>
      <c r="R78" s="97">
        <v>0</v>
      </c>
      <c r="S78" s="97" t="s">
        <v>313</v>
      </c>
      <c r="T78" s="97" t="s">
        <v>314</v>
      </c>
      <c r="U78" s="98" t="s">
        <v>541</v>
      </c>
      <c r="V78" s="98">
        <v>3846666</v>
      </c>
      <c r="W78" s="96" t="s">
        <v>178</v>
      </c>
      <c r="X78" s="7" t="s">
        <v>190</v>
      </c>
      <c r="Y78" s="42" t="s">
        <v>222</v>
      </c>
      <c r="Z78" s="98"/>
      <c r="AA78" s="139">
        <v>244612</v>
      </c>
      <c r="AB78" s="283">
        <v>344612</v>
      </c>
      <c r="AC78" s="139">
        <f t="shared" si="0"/>
        <v>11900000</v>
      </c>
      <c r="AD78" s="202">
        <v>4923</v>
      </c>
      <c r="AE78" s="201">
        <f>12244612-344612</f>
        <v>11900000</v>
      </c>
      <c r="AF78" s="210">
        <f t="shared" si="1"/>
        <v>0</v>
      </c>
      <c r="AG78" s="241">
        <v>6623</v>
      </c>
      <c r="AH78" s="244">
        <v>44992</v>
      </c>
      <c r="AI78" s="246">
        <v>11900000</v>
      </c>
      <c r="AJ78" s="240">
        <f t="shared" si="2"/>
        <v>0</v>
      </c>
      <c r="AK78" s="241" t="s">
        <v>512</v>
      </c>
      <c r="AL78" s="241" t="s">
        <v>513</v>
      </c>
      <c r="AM78" s="373">
        <f>1081818+1081818+1081818+1081818+1081818+1081818+1081818+1081818+1081818+1081818</f>
        <v>10818180</v>
      </c>
      <c r="AN78" s="13" t="s">
        <v>421</v>
      </c>
      <c r="AO78" s="8" t="s">
        <v>998</v>
      </c>
      <c r="AP78" s="402"/>
    </row>
    <row r="79" spans="1:43" ht="116.25" customHeight="1" x14ac:dyDescent="0.2">
      <c r="A79" s="186" t="s">
        <v>120</v>
      </c>
      <c r="B79" s="65" t="s">
        <v>179</v>
      </c>
      <c r="C79" s="66" t="s">
        <v>323</v>
      </c>
      <c r="D79" s="29" t="s">
        <v>121</v>
      </c>
      <c r="E79" s="4" t="s">
        <v>207</v>
      </c>
      <c r="F79" s="7" t="s">
        <v>207</v>
      </c>
      <c r="G79" s="7" t="s">
        <v>209</v>
      </c>
      <c r="H79" s="42" t="s">
        <v>223</v>
      </c>
      <c r="I79" s="95">
        <v>14121904</v>
      </c>
      <c r="J79" s="95">
        <v>2</v>
      </c>
      <c r="K79" s="95">
        <v>3</v>
      </c>
      <c r="L79" s="95">
        <v>2</v>
      </c>
      <c r="M79" s="42">
        <v>1</v>
      </c>
      <c r="N79" s="95" t="s">
        <v>86</v>
      </c>
      <c r="O79" s="164" t="s">
        <v>312</v>
      </c>
      <c r="P79" s="188">
        <v>9104412</v>
      </c>
      <c r="Q79" s="97">
        <v>0</v>
      </c>
      <c r="R79" s="97">
        <v>0</v>
      </c>
      <c r="S79" s="97" t="s">
        <v>313</v>
      </c>
      <c r="T79" s="97" t="s">
        <v>314</v>
      </c>
      <c r="U79" s="98" t="s">
        <v>541</v>
      </c>
      <c r="V79" s="98">
        <v>3846666</v>
      </c>
      <c r="W79" s="96" t="s">
        <v>178</v>
      </c>
      <c r="X79" s="95" t="s">
        <v>27</v>
      </c>
      <c r="Y79" s="42" t="s">
        <v>222</v>
      </c>
      <c r="Z79" s="98"/>
      <c r="AA79" s="283">
        <f>59883138+43700197+3224</f>
        <v>103586559</v>
      </c>
      <c r="AB79" s="139">
        <f>6089253+3015159+43701838</f>
        <v>52806250</v>
      </c>
      <c r="AC79" s="139">
        <f t="shared" si="0"/>
        <v>59884721</v>
      </c>
      <c r="AD79" s="202" t="s">
        <v>920</v>
      </c>
      <c r="AE79" s="201">
        <f>16178076+43706645</f>
        <v>59884721</v>
      </c>
      <c r="AF79" s="210">
        <f t="shared" si="1"/>
        <v>0</v>
      </c>
      <c r="AG79" s="243">
        <v>39723</v>
      </c>
      <c r="AH79" s="400">
        <v>45278</v>
      </c>
      <c r="AI79" s="287">
        <v>59881401</v>
      </c>
      <c r="AJ79" s="236">
        <f t="shared" si="2"/>
        <v>3320</v>
      </c>
      <c r="AK79" s="406" t="s">
        <v>952</v>
      </c>
      <c r="AL79" s="243" t="s">
        <v>765</v>
      </c>
      <c r="AM79" s="375">
        <f>13327979.67</f>
        <v>13327979.67</v>
      </c>
      <c r="AN79" s="11" t="s">
        <v>936</v>
      </c>
      <c r="AO79" s="8" t="s">
        <v>998</v>
      </c>
      <c r="AP79" s="402"/>
    </row>
    <row r="80" spans="1:43" ht="116.25" customHeight="1" x14ac:dyDescent="0.2">
      <c r="A80" s="186" t="s">
        <v>120</v>
      </c>
      <c r="B80" s="65" t="s">
        <v>179</v>
      </c>
      <c r="C80" s="66" t="s">
        <v>323</v>
      </c>
      <c r="D80" s="29" t="s">
        <v>121</v>
      </c>
      <c r="E80" s="4" t="s">
        <v>207</v>
      </c>
      <c r="F80" s="7" t="s">
        <v>207</v>
      </c>
      <c r="G80" s="7" t="s">
        <v>209</v>
      </c>
      <c r="H80" s="42" t="s">
        <v>223</v>
      </c>
      <c r="I80" s="95">
        <v>14121904</v>
      </c>
      <c r="J80" s="95">
        <v>3</v>
      </c>
      <c r="K80" s="95">
        <v>2</v>
      </c>
      <c r="L80" s="42">
        <v>1</v>
      </c>
      <c r="M80" s="42">
        <v>1</v>
      </c>
      <c r="N80" s="95" t="s">
        <v>86</v>
      </c>
      <c r="O80" s="164" t="s">
        <v>386</v>
      </c>
      <c r="P80" s="188">
        <v>106049630</v>
      </c>
      <c r="Q80" s="97">
        <v>0</v>
      </c>
      <c r="R80" s="97">
        <v>0</v>
      </c>
      <c r="S80" s="97" t="s">
        <v>313</v>
      </c>
      <c r="T80" s="97" t="s">
        <v>314</v>
      </c>
      <c r="U80" s="98" t="s">
        <v>541</v>
      </c>
      <c r="V80" s="98">
        <v>3846666</v>
      </c>
      <c r="W80" s="96" t="s">
        <v>178</v>
      </c>
      <c r="X80" s="95" t="s">
        <v>27</v>
      </c>
      <c r="Y80" s="42" t="s">
        <v>222</v>
      </c>
      <c r="Z80" s="98"/>
      <c r="AA80" s="98"/>
      <c r="AB80" s="98"/>
      <c r="AC80" s="139">
        <f>P80+Z80+AA80-AB80</f>
        <v>106049630</v>
      </c>
      <c r="AD80" s="202">
        <v>19423</v>
      </c>
      <c r="AE80" s="201">
        <v>106049630</v>
      </c>
      <c r="AF80" s="210">
        <f t="shared" si="1"/>
        <v>0</v>
      </c>
      <c r="AG80" s="241">
        <v>26223</v>
      </c>
      <c r="AH80" s="244">
        <v>45140</v>
      </c>
      <c r="AI80" s="240">
        <v>106049630</v>
      </c>
      <c r="AJ80" s="240">
        <f t="shared" si="2"/>
        <v>0</v>
      </c>
      <c r="AK80" s="241" t="s">
        <v>766</v>
      </c>
      <c r="AL80" s="241" t="s">
        <v>765</v>
      </c>
      <c r="AM80" s="375">
        <f>34153354.01+24294000+8184000+21576000+17842085.01</f>
        <v>106049439.02</v>
      </c>
      <c r="AN80" s="12"/>
      <c r="AQ80" s="402"/>
    </row>
    <row r="81" spans="1:43" ht="116.25" customHeight="1" x14ac:dyDescent="0.2">
      <c r="A81" s="186" t="s">
        <v>120</v>
      </c>
      <c r="B81" s="65" t="s">
        <v>179</v>
      </c>
      <c r="C81" s="66" t="s">
        <v>323</v>
      </c>
      <c r="D81" s="29" t="s">
        <v>121</v>
      </c>
      <c r="E81" s="4" t="s">
        <v>207</v>
      </c>
      <c r="F81" s="7" t="s">
        <v>207</v>
      </c>
      <c r="G81" s="7" t="s">
        <v>209</v>
      </c>
      <c r="H81" s="42" t="s">
        <v>223</v>
      </c>
      <c r="I81" s="95">
        <v>14121904</v>
      </c>
      <c r="J81" s="95">
        <v>3</v>
      </c>
      <c r="K81" s="95">
        <v>2</v>
      </c>
      <c r="L81" s="42">
        <v>1</v>
      </c>
      <c r="M81" s="42">
        <v>1</v>
      </c>
      <c r="N81" s="95" t="s">
        <v>86</v>
      </c>
      <c r="O81" s="164" t="s">
        <v>385</v>
      </c>
      <c r="P81" s="188">
        <v>13716646</v>
      </c>
      <c r="Q81" s="97">
        <v>0</v>
      </c>
      <c r="R81" s="97">
        <v>0</v>
      </c>
      <c r="S81" s="97" t="s">
        <v>313</v>
      </c>
      <c r="T81" s="97" t="s">
        <v>314</v>
      </c>
      <c r="U81" s="98" t="s">
        <v>541</v>
      </c>
      <c r="V81" s="98">
        <v>3846666</v>
      </c>
      <c r="W81" s="96" t="s">
        <v>178</v>
      </c>
      <c r="X81" s="95" t="s">
        <v>27</v>
      </c>
      <c r="Y81" s="42" t="s">
        <v>222</v>
      </c>
      <c r="Z81" s="98"/>
      <c r="AA81" s="98"/>
      <c r="AB81" s="98"/>
      <c r="AC81" s="139">
        <f t="shared" si="0"/>
        <v>13716646</v>
      </c>
      <c r="AD81" s="202">
        <v>19423</v>
      </c>
      <c r="AE81" s="201">
        <v>13716646</v>
      </c>
      <c r="AF81" s="210">
        <f t="shared" si="1"/>
        <v>0</v>
      </c>
      <c r="AG81" s="241">
        <v>26223</v>
      </c>
      <c r="AH81" s="244">
        <v>45140</v>
      </c>
      <c r="AI81" s="240">
        <v>13716646</v>
      </c>
      <c r="AJ81" s="240">
        <f t="shared" si="2"/>
        <v>0</v>
      </c>
      <c r="AK81" s="241" t="s">
        <v>766</v>
      </c>
      <c r="AL81" s="241" t="s">
        <v>765</v>
      </c>
      <c r="AM81" s="375">
        <v>13716646</v>
      </c>
      <c r="AN81" s="12"/>
      <c r="AQ81" s="402"/>
    </row>
    <row r="82" spans="1:43" ht="116.25" customHeight="1" x14ac:dyDescent="0.2">
      <c r="A82" s="186" t="s">
        <v>120</v>
      </c>
      <c r="B82" s="65" t="s">
        <v>179</v>
      </c>
      <c r="C82" s="66" t="s">
        <v>323</v>
      </c>
      <c r="D82" s="29" t="s">
        <v>121</v>
      </c>
      <c r="E82" s="4" t="s">
        <v>207</v>
      </c>
      <c r="F82" s="7" t="s">
        <v>207</v>
      </c>
      <c r="G82" s="7" t="s">
        <v>209</v>
      </c>
      <c r="H82" s="42" t="s">
        <v>728</v>
      </c>
      <c r="I82" s="7">
        <v>55121734</v>
      </c>
      <c r="J82" s="7" t="s">
        <v>730</v>
      </c>
      <c r="K82" s="7" t="s">
        <v>730</v>
      </c>
      <c r="L82" s="7" t="s">
        <v>731</v>
      </c>
      <c r="M82" s="42">
        <v>1</v>
      </c>
      <c r="N82" s="7" t="s">
        <v>547</v>
      </c>
      <c r="O82" s="164" t="s">
        <v>312</v>
      </c>
      <c r="P82" s="188">
        <v>25000000</v>
      </c>
      <c r="Q82" s="97">
        <v>0</v>
      </c>
      <c r="R82" s="97">
        <v>0</v>
      </c>
      <c r="S82" s="97" t="s">
        <v>313</v>
      </c>
      <c r="T82" s="97" t="s">
        <v>314</v>
      </c>
      <c r="U82" s="98" t="s">
        <v>541</v>
      </c>
      <c r="V82" s="98">
        <v>3846666</v>
      </c>
      <c r="W82" s="96" t="s">
        <v>178</v>
      </c>
      <c r="X82" s="95" t="s">
        <v>27</v>
      </c>
      <c r="Y82" s="42" t="s">
        <v>732</v>
      </c>
      <c r="Z82" s="98"/>
      <c r="AA82" s="283">
        <f>7905912+470109</f>
        <v>8376021</v>
      </c>
      <c r="AB82" s="283">
        <f>6511300+20072222</f>
        <v>26583522</v>
      </c>
      <c r="AC82" s="139">
        <f t="shared" si="0"/>
        <v>6792499</v>
      </c>
      <c r="AD82" s="335">
        <v>24723</v>
      </c>
      <c r="AE82" s="201">
        <v>6792499</v>
      </c>
      <c r="AF82" s="210">
        <f t="shared" si="1"/>
        <v>0</v>
      </c>
      <c r="AG82" s="243">
        <v>35823</v>
      </c>
      <c r="AH82" s="368">
        <v>45229</v>
      </c>
      <c r="AI82" s="287">
        <v>6792499</v>
      </c>
      <c r="AJ82" s="236">
        <f t="shared" si="2"/>
        <v>0</v>
      </c>
      <c r="AK82" s="243" t="s">
        <v>879</v>
      </c>
      <c r="AL82" s="243" t="s">
        <v>856</v>
      </c>
      <c r="AM82" s="287">
        <v>6792499</v>
      </c>
      <c r="AN82" s="11" t="s">
        <v>560</v>
      </c>
      <c r="AQ82" s="402"/>
    </row>
    <row r="83" spans="1:43" ht="116.25" customHeight="1" x14ac:dyDescent="0.2">
      <c r="A83" s="186" t="s">
        <v>120</v>
      </c>
      <c r="B83" s="65" t="s">
        <v>179</v>
      </c>
      <c r="C83" s="66" t="s">
        <v>323</v>
      </c>
      <c r="D83" s="29" t="s">
        <v>121</v>
      </c>
      <c r="E83" s="4" t="s">
        <v>207</v>
      </c>
      <c r="F83" s="7" t="s">
        <v>207</v>
      </c>
      <c r="G83" s="7" t="s">
        <v>209</v>
      </c>
      <c r="H83" s="42" t="s">
        <v>772</v>
      </c>
      <c r="I83" s="7">
        <v>55121734</v>
      </c>
      <c r="J83" s="7">
        <v>8</v>
      </c>
      <c r="K83" s="7">
        <v>8</v>
      </c>
      <c r="L83" s="7">
        <v>1</v>
      </c>
      <c r="M83" s="42">
        <v>1</v>
      </c>
      <c r="N83" s="7" t="s">
        <v>171</v>
      </c>
      <c r="O83" s="164" t="s">
        <v>386</v>
      </c>
      <c r="P83" s="188">
        <v>0</v>
      </c>
      <c r="Q83" s="97">
        <v>0</v>
      </c>
      <c r="R83" s="97">
        <v>0</v>
      </c>
      <c r="S83" s="97" t="s">
        <v>313</v>
      </c>
      <c r="T83" s="97" t="s">
        <v>314</v>
      </c>
      <c r="U83" s="98" t="s">
        <v>541</v>
      </c>
      <c r="V83" s="98">
        <v>3846666</v>
      </c>
      <c r="W83" s="96" t="s">
        <v>178</v>
      </c>
      <c r="X83" s="95" t="s">
        <v>27</v>
      </c>
      <c r="Y83" s="42" t="s">
        <v>732</v>
      </c>
      <c r="Z83" s="283">
        <v>3207501</v>
      </c>
      <c r="AA83" s="283"/>
      <c r="AB83" s="283">
        <v>4000</v>
      </c>
      <c r="AC83" s="139">
        <f t="shared" ref="AC83:AC89" si="13">P83+Z83+AA83-AB83</f>
        <v>3203501</v>
      </c>
      <c r="AD83" s="335">
        <v>24723</v>
      </c>
      <c r="AE83" s="201">
        <v>3207501</v>
      </c>
      <c r="AF83" s="210">
        <f t="shared" ref="AF83:AF89" si="14">+AC83-AE83</f>
        <v>-4000</v>
      </c>
      <c r="AG83" s="243">
        <v>35823</v>
      </c>
      <c r="AH83" s="368">
        <v>45229</v>
      </c>
      <c r="AI83" s="287">
        <f>3207501-4000</f>
        <v>3203501</v>
      </c>
      <c r="AJ83" s="236">
        <f t="shared" ref="AJ83:AJ89" si="15">+AC83-AI83</f>
        <v>0</v>
      </c>
      <c r="AK83" s="243" t="s">
        <v>879</v>
      </c>
      <c r="AL83" s="243" t="s">
        <v>856</v>
      </c>
      <c r="AM83" s="287">
        <v>3203501</v>
      </c>
      <c r="AN83" s="11" t="s">
        <v>817</v>
      </c>
      <c r="AQ83" s="402"/>
    </row>
    <row r="84" spans="1:43" ht="116.25" customHeight="1" x14ac:dyDescent="0.2">
      <c r="A84" s="186" t="s">
        <v>120</v>
      </c>
      <c r="B84" s="65" t="s">
        <v>179</v>
      </c>
      <c r="C84" s="66" t="s">
        <v>323</v>
      </c>
      <c r="D84" s="29" t="s">
        <v>121</v>
      </c>
      <c r="E84" s="4" t="s">
        <v>207</v>
      </c>
      <c r="F84" s="7" t="s">
        <v>207</v>
      </c>
      <c r="G84" s="7" t="s">
        <v>209</v>
      </c>
      <c r="H84" s="42" t="s">
        <v>774</v>
      </c>
      <c r="I84" s="7">
        <v>24111503</v>
      </c>
      <c r="J84" s="7">
        <v>8</v>
      </c>
      <c r="K84" s="7">
        <v>8</v>
      </c>
      <c r="L84" s="7">
        <v>1</v>
      </c>
      <c r="M84" s="42">
        <v>1</v>
      </c>
      <c r="N84" s="7" t="s">
        <v>171</v>
      </c>
      <c r="O84" s="164" t="s">
        <v>312</v>
      </c>
      <c r="P84" s="188">
        <v>0</v>
      </c>
      <c r="Q84" s="97">
        <v>0</v>
      </c>
      <c r="R84" s="97">
        <v>0</v>
      </c>
      <c r="S84" s="97" t="s">
        <v>313</v>
      </c>
      <c r="T84" s="97" t="s">
        <v>314</v>
      </c>
      <c r="U84" s="98" t="s">
        <v>541</v>
      </c>
      <c r="V84" s="98">
        <v>3846666</v>
      </c>
      <c r="W84" s="96" t="s">
        <v>178</v>
      </c>
      <c r="X84" s="95" t="s">
        <v>27</v>
      </c>
      <c r="Y84" s="42" t="s">
        <v>732</v>
      </c>
      <c r="Z84" s="283">
        <v>6000000</v>
      </c>
      <c r="AA84" s="283"/>
      <c r="AB84" s="283">
        <v>222550</v>
      </c>
      <c r="AC84" s="139">
        <f t="shared" si="13"/>
        <v>5777450</v>
      </c>
      <c r="AD84" s="335">
        <v>26323</v>
      </c>
      <c r="AE84" s="201">
        <v>5829788</v>
      </c>
      <c r="AF84" s="210">
        <f t="shared" si="14"/>
        <v>-52338</v>
      </c>
      <c r="AG84" s="241">
        <v>31323</v>
      </c>
      <c r="AH84" s="244">
        <v>45202</v>
      </c>
      <c r="AI84" s="246">
        <v>5777450</v>
      </c>
      <c r="AJ84" s="240">
        <f t="shared" si="15"/>
        <v>0</v>
      </c>
      <c r="AK84" s="241" t="s">
        <v>832</v>
      </c>
      <c r="AL84" s="241" t="s">
        <v>833</v>
      </c>
      <c r="AM84" s="375">
        <f>5777450</f>
        <v>5777450</v>
      </c>
      <c r="AN84" s="11" t="s">
        <v>817</v>
      </c>
      <c r="AQ84" s="402"/>
    </row>
    <row r="85" spans="1:43" ht="116.25" customHeight="1" x14ac:dyDescent="0.2">
      <c r="A85" s="186" t="s">
        <v>120</v>
      </c>
      <c r="B85" s="65" t="s">
        <v>179</v>
      </c>
      <c r="C85" s="66" t="s">
        <v>323</v>
      </c>
      <c r="D85" s="29" t="s">
        <v>121</v>
      </c>
      <c r="E85" s="4" t="s">
        <v>207</v>
      </c>
      <c r="F85" s="7" t="s">
        <v>207</v>
      </c>
      <c r="G85" s="7" t="s">
        <v>209</v>
      </c>
      <c r="H85" s="42" t="s">
        <v>775</v>
      </c>
      <c r="I85" s="7">
        <v>24101612</v>
      </c>
      <c r="J85" s="7">
        <v>9</v>
      </c>
      <c r="K85" s="7">
        <v>9</v>
      </c>
      <c r="L85" s="7">
        <v>1</v>
      </c>
      <c r="M85" s="42">
        <v>1</v>
      </c>
      <c r="N85" s="7" t="s">
        <v>171</v>
      </c>
      <c r="O85" s="164" t="s">
        <v>312</v>
      </c>
      <c r="P85" s="188">
        <v>0</v>
      </c>
      <c r="Q85" s="97">
        <v>0</v>
      </c>
      <c r="R85" s="97">
        <v>0</v>
      </c>
      <c r="S85" s="97" t="s">
        <v>313</v>
      </c>
      <c r="T85" s="97" t="s">
        <v>314</v>
      </c>
      <c r="U85" s="98" t="s">
        <v>541</v>
      </c>
      <c r="V85" s="98">
        <v>3846666</v>
      </c>
      <c r="W85" s="96" t="s">
        <v>178</v>
      </c>
      <c r="X85" s="95" t="s">
        <v>27</v>
      </c>
      <c r="Y85" s="42" t="s">
        <v>222</v>
      </c>
      <c r="Z85" s="283">
        <v>3000000</v>
      </c>
      <c r="AA85" s="283"/>
      <c r="AB85" s="283"/>
      <c r="AC85" s="139">
        <f t="shared" si="13"/>
        <v>3000000</v>
      </c>
      <c r="AD85" s="229">
        <v>33723</v>
      </c>
      <c r="AE85" s="227">
        <v>2875757</v>
      </c>
      <c r="AF85" s="225">
        <f t="shared" si="14"/>
        <v>124243</v>
      </c>
      <c r="AG85" s="243"/>
      <c r="AH85" s="243"/>
      <c r="AI85" s="287"/>
      <c r="AJ85" s="236">
        <f t="shared" si="15"/>
        <v>3000000</v>
      </c>
      <c r="AK85" s="243"/>
      <c r="AL85" s="243"/>
      <c r="AM85" s="354"/>
      <c r="AN85" s="11" t="s">
        <v>773</v>
      </c>
      <c r="AQ85" s="402"/>
    </row>
    <row r="86" spans="1:43" ht="116.25" customHeight="1" x14ac:dyDescent="0.2">
      <c r="A86" s="186" t="s">
        <v>120</v>
      </c>
      <c r="B86" s="65" t="s">
        <v>179</v>
      </c>
      <c r="C86" s="66" t="s">
        <v>323</v>
      </c>
      <c r="D86" s="29" t="s">
        <v>121</v>
      </c>
      <c r="E86" s="4" t="s">
        <v>207</v>
      </c>
      <c r="F86" s="7" t="s">
        <v>207</v>
      </c>
      <c r="G86" s="7" t="s">
        <v>209</v>
      </c>
      <c r="H86" s="42" t="s">
        <v>781</v>
      </c>
      <c r="I86" s="7">
        <v>43211507</v>
      </c>
      <c r="J86" s="7" t="s">
        <v>776</v>
      </c>
      <c r="K86" s="7" t="s">
        <v>776</v>
      </c>
      <c r="L86" s="7">
        <v>1</v>
      </c>
      <c r="M86" s="42">
        <v>1</v>
      </c>
      <c r="N86" s="7" t="s">
        <v>171</v>
      </c>
      <c r="O86" s="164" t="s">
        <v>312</v>
      </c>
      <c r="P86" s="188">
        <v>0</v>
      </c>
      <c r="Q86" s="97">
        <v>0</v>
      </c>
      <c r="R86" s="97">
        <v>0</v>
      </c>
      <c r="S86" s="97" t="s">
        <v>313</v>
      </c>
      <c r="T86" s="97" t="s">
        <v>314</v>
      </c>
      <c r="U86" s="98" t="s">
        <v>541</v>
      </c>
      <c r="V86" s="98">
        <v>3846666</v>
      </c>
      <c r="W86" s="96" t="s">
        <v>178</v>
      </c>
      <c r="X86" s="95" t="s">
        <v>27</v>
      </c>
      <c r="Y86" s="42" t="s">
        <v>531</v>
      </c>
      <c r="Z86" s="283">
        <v>8000000</v>
      </c>
      <c r="AA86" s="283">
        <f>4000000+4258000</f>
        <v>8258000</v>
      </c>
      <c r="AB86" s="283">
        <v>3929600</v>
      </c>
      <c r="AC86" s="139">
        <f t="shared" si="13"/>
        <v>12328400</v>
      </c>
      <c r="AD86" s="229">
        <v>30223</v>
      </c>
      <c r="AE86" s="227">
        <f>16257242-3928842</f>
        <v>12328400</v>
      </c>
      <c r="AF86" s="225">
        <f t="shared" si="14"/>
        <v>0</v>
      </c>
      <c r="AG86" s="243">
        <v>36723</v>
      </c>
      <c r="AH86" s="368">
        <v>45245</v>
      </c>
      <c r="AI86" s="287">
        <v>12328400</v>
      </c>
      <c r="AJ86" s="236">
        <f t="shared" si="15"/>
        <v>0</v>
      </c>
      <c r="AK86" s="243" t="s">
        <v>891</v>
      </c>
      <c r="AL86" s="243" t="s">
        <v>890</v>
      </c>
      <c r="AM86" s="380">
        <v>12328400</v>
      </c>
      <c r="AN86" s="11" t="s">
        <v>817</v>
      </c>
      <c r="AQ86" s="402"/>
    </row>
    <row r="87" spans="1:43" ht="116.25" customHeight="1" x14ac:dyDescent="0.2">
      <c r="A87" s="186" t="s">
        <v>120</v>
      </c>
      <c r="B87" s="65" t="s">
        <v>179</v>
      </c>
      <c r="C87" s="66" t="s">
        <v>323</v>
      </c>
      <c r="D87" s="29" t="s">
        <v>121</v>
      </c>
      <c r="E87" s="4" t="s">
        <v>207</v>
      </c>
      <c r="F87" s="7" t="s">
        <v>207</v>
      </c>
      <c r="G87" s="7" t="s">
        <v>209</v>
      </c>
      <c r="H87" s="42" t="s">
        <v>782</v>
      </c>
      <c r="I87" s="7">
        <v>24102007</v>
      </c>
      <c r="J87" s="7" t="s">
        <v>818</v>
      </c>
      <c r="K87" s="7" t="s">
        <v>818</v>
      </c>
      <c r="L87" s="7">
        <v>1</v>
      </c>
      <c r="M87" s="42">
        <v>1</v>
      </c>
      <c r="N87" s="7" t="s">
        <v>171</v>
      </c>
      <c r="O87" s="164" t="s">
        <v>312</v>
      </c>
      <c r="P87" s="188">
        <v>0</v>
      </c>
      <c r="Q87" s="97">
        <v>0</v>
      </c>
      <c r="R87" s="97">
        <v>0</v>
      </c>
      <c r="S87" s="97" t="s">
        <v>313</v>
      </c>
      <c r="T87" s="97" t="s">
        <v>314</v>
      </c>
      <c r="U87" s="98" t="s">
        <v>541</v>
      </c>
      <c r="V87" s="98">
        <v>3846666</v>
      </c>
      <c r="W87" s="96" t="s">
        <v>178</v>
      </c>
      <c r="X87" s="95" t="s">
        <v>27</v>
      </c>
      <c r="Y87" s="42" t="s">
        <v>531</v>
      </c>
      <c r="Z87" s="283">
        <v>18292851</v>
      </c>
      <c r="AA87" s="283"/>
      <c r="AB87" s="283">
        <f>4000000+4258000+1000000+9034851</f>
        <v>18292851</v>
      </c>
      <c r="AC87" s="139">
        <f t="shared" si="13"/>
        <v>0</v>
      </c>
      <c r="AD87" s="229"/>
      <c r="AE87" s="227"/>
      <c r="AF87" s="225">
        <f t="shared" si="14"/>
        <v>0</v>
      </c>
      <c r="AG87" s="243"/>
      <c r="AH87" s="243"/>
      <c r="AI87" s="287"/>
      <c r="AJ87" s="236">
        <f t="shared" si="15"/>
        <v>0</v>
      </c>
      <c r="AK87" s="243"/>
      <c r="AL87" s="243"/>
      <c r="AM87" s="354"/>
      <c r="AN87" s="11" t="s">
        <v>817</v>
      </c>
      <c r="AQ87" s="402"/>
    </row>
    <row r="88" spans="1:43" ht="116.25" customHeight="1" x14ac:dyDescent="0.2">
      <c r="A88" s="186" t="s">
        <v>120</v>
      </c>
      <c r="B88" s="65" t="s">
        <v>179</v>
      </c>
      <c r="C88" s="66" t="s">
        <v>323</v>
      </c>
      <c r="D88" s="29" t="s">
        <v>121</v>
      </c>
      <c r="E88" s="4" t="s">
        <v>207</v>
      </c>
      <c r="F88" s="7" t="s">
        <v>207</v>
      </c>
      <c r="G88" s="7" t="s">
        <v>209</v>
      </c>
      <c r="H88" s="42" t="s">
        <v>729</v>
      </c>
      <c r="I88" s="7">
        <v>24121503</v>
      </c>
      <c r="J88" s="7" t="s">
        <v>780</v>
      </c>
      <c r="K88" s="7" t="s">
        <v>780</v>
      </c>
      <c r="L88" s="7">
        <v>1</v>
      </c>
      <c r="M88" s="42">
        <v>1</v>
      </c>
      <c r="N88" s="95" t="s">
        <v>171</v>
      </c>
      <c r="O88" s="164" t="s">
        <v>312</v>
      </c>
      <c r="P88" s="188">
        <v>0</v>
      </c>
      <c r="Q88" s="97">
        <v>0</v>
      </c>
      <c r="R88" s="97">
        <v>0</v>
      </c>
      <c r="S88" s="97" t="s">
        <v>313</v>
      </c>
      <c r="T88" s="97" t="s">
        <v>314</v>
      </c>
      <c r="U88" s="98" t="s">
        <v>541</v>
      </c>
      <c r="V88" s="98">
        <v>3846666</v>
      </c>
      <c r="W88" s="96" t="s">
        <v>178</v>
      </c>
      <c r="X88" s="95" t="s">
        <v>27</v>
      </c>
      <c r="Y88" s="42" t="s">
        <v>732</v>
      </c>
      <c r="Z88" s="283">
        <v>6702675</v>
      </c>
      <c r="AA88" s="283">
        <v>3297325</v>
      </c>
      <c r="AB88" s="283">
        <v>1079400</v>
      </c>
      <c r="AC88" s="139">
        <f t="shared" si="13"/>
        <v>8920600</v>
      </c>
      <c r="AD88" s="335">
        <v>22923</v>
      </c>
      <c r="AE88" s="201">
        <f>6702675+3294961</f>
        <v>9997636</v>
      </c>
      <c r="AF88" s="210">
        <f t="shared" si="14"/>
        <v>-1077036</v>
      </c>
      <c r="AG88" s="243">
        <v>33723</v>
      </c>
      <c r="AH88" s="368">
        <v>45211</v>
      </c>
      <c r="AI88" s="287">
        <v>8920600</v>
      </c>
      <c r="AJ88" s="236">
        <f t="shared" si="15"/>
        <v>0</v>
      </c>
      <c r="AK88" s="243" t="s">
        <v>853</v>
      </c>
      <c r="AL88" s="243" t="s">
        <v>854</v>
      </c>
      <c r="AM88" s="287">
        <v>8920600</v>
      </c>
      <c r="AN88" s="11" t="s">
        <v>836</v>
      </c>
      <c r="AQ88" s="402"/>
    </row>
    <row r="89" spans="1:43" ht="116.25" customHeight="1" x14ac:dyDescent="0.2">
      <c r="A89" s="186" t="s">
        <v>120</v>
      </c>
      <c r="B89" s="65" t="s">
        <v>179</v>
      </c>
      <c r="C89" s="66" t="s">
        <v>323</v>
      </c>
      <c r="D89" s="29" t="s">
        <v>121</v>
      </c>
      <c r="E89" s="4" t="s">
        <v>207</v>
      </c>
      <c r="F89" s="7" t="s">
        <v>207</v>
      </c>
      <c r="G89" s="7" t="s">
        <v>209</v>
      </c>
      <c r="H89" s="42" t="s">
        <v>749</v>
      </c>
      <c r="I89" s="7">
        <v>44122117</v>
      </c>
      <c r="J89" s="7">
        <v>8</v>
      </c>
      <c r="K89" s="7">
        <v>8</v>
      </c>
      <c r="L89" s="7">
        <v>1</v>
      </c>
      <c r="M89" s="42">
        <v>1</v>
      </c>
      <c r="N89" s="95" t="s">
        <v>171</v>
      </c>
      <c r="O89" s="164" t="s">
        <v>312</v>
      </c>
      <c r="P89" s="188">
        <v>0</v>
      </c>
      <c r="Q89" s="97">
        <v>0</v>
      </c>
      <c r="R89" s="97">
        <v>0</v>
      </c>
      <c r="S89" s="97" t="s">
        <v>313</v>
      </c>
      <c r="T89" s="97" t="s">
        <v>314</v>
      </c>
      <c r="U89" s="98" t="s">
        <v>541</v>
      </c>
      <c r="V89" s="98">
        <v>3846666</v>
      </c>
      <c r="W89" s="96" t="s">
        <v>178</v>
      </c>
      <c r="X89" s="95" t="s">
        <v>27</v>
      </c>
      <c r="Y89" s="42" t="s">
        <v>531</v>
      </c>
      <c r="Z89" s="283">
        <v>13369547</v>
      </c>
      <c r="AA89" s="283">
        <v>11630453</v>
      </c>
      <c r="AB89" s="283">
        <v>3366269</v>
      </c>
      <c r="AC89" s="139">
        <f t="shared" si="13"/>
        <v>21633731</v>
      </c>
      <c r="AD89" s="335">
        <v>25423</v>
      </c>
      <c r="AE89" s="201">
        <v>24886165</v>
      </c>
      <c r="AF89" s="210">
        <f t="shared" si="14"/>
        <v>-3252434</v>
      </c>
      <c r="AG89" s="241">
        <v>29323</v>
      </c>
      <c r="AH89" s="244">
        <v>45189</v>
      </c>
      <c r="AI89" s="246">
        <v>21633731</v>
      </c>
      <c r="AJ89" s="240">
        <f t="shared" si="15"/>
        <v>0</v>
      </c>
      <c r="AK89" s="241" t="s">
        <v>822</v>
      </c>
      <c r="AL89" s="241" t="s">
        <v>823</v>
      </c>
      <c r="AM89" s="380">
        <v>21153987</v>
      </c>
      <c r="AN89" s="11" t="s">
        <v>836</v>
      </c>
      <c r="AQ89" s="402"/>
    </row>
    <row r="90" spans="1:43" ht="116.25" customHeight="1" x14ac:dyDescent="0.2">
      <c r="A90" s="186" t="s">
        <v>120</v>
      </c>
      <c r="B90" s="65" t="s">
        <v>179</v>
      </c>
      <c r="C90" s="66" t="s">
        <v>323</v>
      </c>
      <c r="D90" s="29" t="s">
        <v>121</v>
      </c>
      <c r="E90" s="4" t="s">
        <v>207</v>
      </c>
      <c r="F90" s="7" t="s">
        <v>207</v>
      </c>
      <c r="G90" s="7" t="s">
        <v>209</v>
      </c>
      <c r="H90" s="42" t="s">
        <v>777</v>
      </c>
      <c r="I90" s="7" t="s">
        <v>224</v>
      </c>
      <c r="J90" s="95">
        <v>1</v>
      </c>
      <c r="K90" s="7" t="s">
        <v>778</v>
      </c>
      <c r="L90" s="7" t="s">
        <v>779</v>
      </c>
      <c r="M90" s="42">
        <v>1</v>
      </c>
      <c r="N90" s="95" t="s">
        <v>171</v>
      </c>
      <c r="O90" s="164" t="s">
        <v>312</v>
      </c>
      <c r="P90" s="188">
        <v>1000000</v>
      </c>
      <c r="Q90" s="97">
        <v>0</v>
      </c>
      <c r="R90" s="97">
        <v>0</v>
      </c>
      <c r="S90" s="97" t="s">
        <v>313</v>
      </c>
      <c r="T90" s="97" t="s">
        <v>314</v>
      </c>
      <c r="U90" s="98" t="s">
        <v>541</v>
      </c>
      <c r="V90" s="98">
        <v>3846666</v>
      </c>
      <c r="W90" s="96" t="s">
        <v>178</v>
      </c>
      <c r="X90" s="99" t="s">
        <v>26</v>
      </c>
      <c r="Y90" s="42" t="s">
        <v>531</v>
      </c>
      <c r="Z90" s="98"/>
      <c r="AA90" s="283">
        <v>1000000</v>
      </c>
      <c r="AB90" s="283">
        <v>1200000</v>
      </c>
      <c r="AC90" s="139">
        <f t="shared" si="0"/>
        <v>800000</v>
      </c>
      <c r="AD90" s="335">
        <v>26423</v>
      </c>
      <c r="AE90" s="201">
        <v>1601114</v>
      </c>
      <c r="AF90" s="210">
        <f t="shared" si="1"/>
        <v>-801114</v>
      </c>
      <c r="AG90" s="243"/>
      <c r="AH90" s="243"/>
      <c r="AI90" s="287"/>
      <c r="AJ90" s="236">
        <f t="shared" si="2"/>
        <v>800000</v>
      </c>
      <c r="AK90" s="243"/>
      <c r="AL90" s="243"/>
      <c r="AM90" s="354"/>
      <c r="AN90" s="11" t="s">
        <v>816</v>
      </c>
      <c r="AQ90" s="402"/>
    </row>
    <row r="91" spans="1:43" ht="116.25" customHeight="1" x14ac:dyDescent="0.2">
      <c r="A91" s="186" t="s">
        <v>120</v>
      </c>
      <c r="B91" s="65" t="s">
        <v>179</v>
      </c>
      <c r="C91" s="66" t="s">
        <v>323</v>
      </c>
      <c r="D91" s="29" t="s">
        <v>121</v>
      </c>
      <c r="E91" s="4" t="s">
        <v>207</v>
      </c>
      <c r="F91" s="7" t="s">
        <v>207</v>
      </c>
      <c r="G91" s="7" t="s">
        <v>209</v>
      </c>
      <c r="H91" s="42" t="s">
        <v>225</v>
      </c>
      <c r="I91" s="7">
        <v>82121801</v>
      </c>
      <c r="J91" s="95">
        <v>1</v>
      </c>
      <c r="K91" s="95">
        <v>1</v>
      </c>
      <c r="L91" s="95">
        <v>11</v>
      </c>
      <c r="M91" s="42">
        <v>1</v>
      </c>
      <c r="N91" s="95" t="s">
        <v>25</v>
      </c>
      <c r="O91" s="164" t="s">
        <v>312</v>
      </c>
      <c r="P91" s="188">
        <v>1500000</v>
      </c>
      <c r="Q91" s="97">
        <v>0</v>
      </c>
      <c r="R91" s="97">
        <v>0</v>
      </c>
      <c r="S91" s="97" t="s">
        <v>313</v>
      </c>
      <c r="T91" s="97" t="s">
        <v>314</v>
      </c>
      <c r="U91" s="98" t="s">
        <v>541</v>
      </c>
      <c r="V91" s="98">
        <v>3846666</v>
      </c>
      <c r="W91" s="96" t="s">
        <v>178</v>
      </c>
      <c r="X91" s="99" t="s">
        <v>26</v>
      </c>
      <c r="Y91" s="42" t="s">
        <v>532</v>
      </c>
      <c r="Z91" s="98"/>
      <c r="AA91" s="98"/>
      <c r="AB91" s="98"/>
      <c r="AC91" s="139">
        <f t="shared" si="0"/>
        <v>1500000</v>
      </c>
      <c r="AD91" s="335">
        <v>14323</v>
      </c>
      <c r="AE91" s="201">
        <v>1500000</v>
      </c>
      <c r="AF91" s="210">
        <f t="shared" si="1"/>
        <v>0</v>
      </c>
      <c r="AG91" s="241">
        <v>21223</v>
      </c>
      <c r="AH91" s="244">
        <v>45092</v>
      </c>
      <c r="AI91" s="246">
        <v>1500000</v>
      </c>
      <c r="AJ91" s="240">
        <f t="shared" si="2"/>
        <v>0</v>
      </c>
      <c r="AK91" s="241" t="s">
        <v>713</v>
      </c>
      <c r="AL91" s="241" t="s">
        <v>714</v>
      </c>
      <c r="AM91" s="380">
        <f>658500+309500+506500</f>
        <v>1474500</v>
      </c>
      <c r="AN91" s="12"/>
      <c r="AQ91" s="402"/>
    </row>
    <row r="92" spans="1:43" ht="116.25" customHeight="1" x14ac:dyDescent="0.2">
      <c r="A92" s="186" t="s">
        <v>120</v>
      </c>
      <c r="B92" s="65" t="s">
        <v>179</v>
      </c>
      <c r="C92" s="66" t="s">
        <v>323</v>
      </c>
      <c r="D92" s="29" t="s">
        <v>121</v>
      </c>
      <c r="E92" s="4" t="s">
        <v>406</v>
      </c>
      <c r="F92" s="4" t="s">
        <v>406</v>
      </c>
      <c r="G92" s="18" t="s">
        <v>295</v>
      </c>
      <c r="H92" s="18" t="s">
        <v>434</v>
      </c>
      <c r="I92" s="18">
        <v>80111600</v>
      </c>
      <c r="J92" s="18">
        <v>1</v>
      </c>
      <c r="K92" s="18">
        <v>1</v>
      </c>
      <c r="L92" s="18">
        <v>11</v>
      </c>
      <c r="M92" s="18">
        <v>1</v>
      </c>
      <c r="N92" s="18" t="s">
        <v>25</v>
      </c>
      <c r="O92" s="164" t="s">
        <v>312</v>
      </c>
      <c r="P92" s="188">
        <f>2224268*11</f>
        <v>24466948</v>
      </c>
      <c r="Q92" s="39">
        <v>0</v>
      </c>
      <c r="R92" s="39">
        <v>0</v>
      </c>
      <c r="S92" s="39" t="s">
        <v>313</v>
      </c>
      <c r="T92" s="39" t="s">
        <v>314</v>
      </c>
      <c r="U92" s="24" t="s">
        <v>541</v>
      </c>
      <c r="V92" s="24">
        <v>3846666</v>
      </c>
      <c r="W92" s="27" t="s">
        <v>178</v>
      </c>
      <c r="X92" s="18" t="s">
        <v>169</v>
      </c>
      <c r="Y92" s="18" t="s">
        <v>541</v>
      </c>
      <c r="Z92" s="24"/>
      <c r="AA92" s="24"/>
      <c r="AB92" s="24"/>
      <c r="AC92" s="145">
        <f t="shared" si="0"/>
        <v>24466948</v>
      </c>
      <c r="AD92" s="199" t="s">
        <v>586</v>
      </c>
      <c r="AE92" s="213">
        <f>8897072+15569876</f>
        <v>24466948</v>
      </c>
      <c r="AF92" s="210">
        <f t="shared" si="1"/>
        <v>0</v>
      </c>
      <c r="AG92" s="241" t="s">
        <v>636</v>
      </c>
      <c r="AH92" s="255" t="s">
        <v>637</v>
      </c>
      <c r="AI92" s="246">
        <f>8897072+15569876</f>
        <v>24466948</v>
      </c>
      <c r="AJ92" s="240">
        <f t="shared" si="2"/>
        <v>0</v>
      </c>
      <c r="AK92" s="245" t="s">
        <v>638</v>
      </c>
      <c r="AL92" s="245" t="s">
        <v>446</v>
      </c>
      <c r="AM92" s="376">
        <f>2224268+2224268+2224268+2224268+2224268+2224268+2224268+2224268+2224268+2224268+2224268</f>
        <v>24466948</v>
      </c>
      <c r="AN92" s="13" t="s">
        <v>421</v>
      </c>
      <c r="AQ92" s="402"/>
    </row>
    <row r="93" spans="1:43" ht="116.25" customHeight="1" x14ac:dyDescent="0.2">
      <c r="A93" s="186" t="s">
        <v>120</v>
      </c>
      <c r="B93" s="65" t="s">
        <v>179</v>
      </c>
      <c r="C93" s="66" t="s">
        <v>323</v>
      </c>
      <c r="D93" s="29" t="s">
        <v>121</v>
      </c>
      <c r="E93" s="4" t="s">
        <v>406</v>
      </c>
      <c r="F93" s="4" t="s">
        <v>406</v>
      </c>
      <c r="G93" s="18" t="s">
        <v>295</v>
      </c>
      <c r="H93" s="18" t="s">
        <v>434</v>
      </c>
      <c r="I93" s="18">
        <v>80111600</v>
      </c>
      <c r="J93" s="18">
        <v>1</v>
      </c>
      <c r="K93" s="18">
        <v>1</v>
      </c>
      <c r="L93" s="18">
        <v>11</v>
      </c>
      <c r="M93" s="18">
        <v>1</v>
      </c>
      <c r="N93" s="18" t="s">
        <v>25</v>
      </c>
      <c r="O93" s="164" t="s">
        <v>312</v>
      </c>
      <c r="P93" s="188">
        <f>2224268*11</f>
        <v>24466948</v>
      </c>
      <c r="Q93" s="39">
        <v>0</v>
      </c>
      <c r="R93" s="39">
        <v>0</v>
      </c>
      <c r="S93" s="39" t="s">
        <v>313</v>
      </c>
      <c r="T93" s="39" t="s">
        <v>314</v>
      </c>
      <c r="U93" s="24" t="s">
        <v>541</v>
      </c>
      <c r="V93" s="24">
        <v>3846666</v>
      </c>
      <c r="W93" s="27" t="s">
        <v>178</v>
      </c>
      <c r="X93" s="18" t="s">
        <v>169</v>
      </c>
      <c r="Y93" s="18" t="s">
        <v>541</v>
      </c>
      <c r="Z93" s="24"/>
      <c r="AA93" s="24"/>
      <c r="AB93" s="24"/>
      <c r="AC93" s="145">
        <f t="shared" si="0"/>
        <v>24466948</v>
      </c>
      <c r="AD93" s="199" t="s">
        <v>587</v>
      </c>
      <c r="AE93" s="213">
        <f>8897072+15569876</f>
        <v>24466948</v>
      </c>
      <c r="AF93" s="210">
        <f t="shared" si="1"/>
        <v>0</v>
      </c>
      <c r="AG93" s="241" t="s">
        <v>639</v>
      </c>
      <c r="AH93" s="255" t="s">
        <v>640</v>
      </c>
      <c r="AI93" s="246">
        <f>8897072+15569876</f>
        <v>24466948</v>
      </c>
      <c r="AJ93" s="240">
        <f t="shared" si="2"/>
        <v>0</v>
      </c>
      <c r="AK93" s="245" t="s">
        <v>641</v>
      </c>
      <c r="AL93" s="245" t="s">
        <v>451</v>
      </c>
      <c r="AM93" s="376">
        <f>2224268+2224268+2224268+2224268+2224268+2224268+2224268+2224268+2224268+2224268+2224268</f>
        <v>24466948</v>
      </c>
      <c r="AN93" s="405" t="s">
        <v>421</v>
      </c>
      <c r="AQ93" s="402"/>
    </row>
    <row r="94" spans="1:43" ht="116.25" customHeight="1" x14ac:dyDescent="0.2">
      <c r="A94" s="186" t="s">
        <v>120</v>
      </c>
      <c r="B94" s="65" t="s">
        <v>179</v>
      </c>
      <c r="C94" s="66" t="s">
        <v>323</v>
      </c>
      <c r="D94" s="29" t="s">
        <v>121</v>
      </c>
      <c r="E94" s="4" t="s">
        <v>406</v>
      </c>
      <c r="F94" s="4" t="s">
        <v>406</v>
      </c>
      <c r="G94" s="18" t="s">
        <v>295</v>
      </c>
      <c r="H94" s="23" t="s">
        <v>470</v>
      </c>
      <c r="I94" s="23">
        <v>80111600</v>
      </c>
      <c r="J94" s="23" t="s">
        <v>457</v>
      </c>
      <c r="K94" s="23" t="s">
        <v>457</v>
      </c>
      <c r="L94" s="23">
        <v>6</v>
      </c>
      <c r="M94" s="23">
        <v>1</v>
      </c>
      <c r="N94" s="23" t="s">
        <v>25</v>
      </c>
      <c r="O94" s="164" t="s">
        <v>312</v>
      </c>
      <c r="P94" s="189">
        <f>3814143*6</f>
        <v>22884858</v>
      </c>
      <c r="Q94" s="39">
        <v>0</v>
      </c>
      <c r="R94" s="39">
        <v>0</v>
      </c>
      <c r="S94" s="39" t="s">
        <v>313</v>
      </c>
      <c r="T94" s="39" t="s">
        <v>314</v>
      </c>
      <c r="U94" s="24" t="s">
        <v>541</v>
      </c>
      <c r="V94" s="23">
        <v>3846666</v>
      </c>
      <c r="W94" s="27" t="s">
        <v>258</v>
      </c>
      <c r="X94" s="23" t="s">
        <v>496</v>
      </c>
      <c r="Y94" s="18" t="s">
        <v>257</v>
      </c>
      <c r="Z94" s="43"/>
      <c r="AA94" s="43"/>
      <c r="AB94" s="356">
        <v>10552459</v>
      </c>
      <c r="AC94" s="145">
        <f t="shared" si="0"/>
        <v>12332399</v>
      </c>
      <c r="AD94" s="199">
        <v>6323</v>
      </c>
      <c r="AE94" s="210">
        <f>12586675-254276</f>
        <v>12332399</v>
      </c>
      <c r="AF94" s="210">
        <f t="shared" si="1"/>
        <v>0</v>
      </c>
      <c r="AG94" s="241">
        <v>5623</v>
      </c>
      <c r="AH94" s="244">
        <v>44981</v>
      </c>
      <c r="AI94" s="246">
        <v>12332399</v>
      </c>
      <c r="AJ94" s="240">
        <f t="shared" si="2"/>
        <v>0</v>
      </c>
      <c r="AK94" s="241" t="s">
        <v>490</v>
      </c>
      <c r="AL94" s="241" t="s">
        <v>489</v>
      </c>
      <c r="AM94" s="376">
        <f>889967+3814144+3814144+3814144</f>
        <v>12332399</v>
      </c>
      <c r="AN94" s="11" t="s">
        <v>560</v>
      </c>
      <c r="AQ94" s="402"/>
    </row>
    <row r="95" spans="1:43" ht="116.25" customHeight="1" x14ac:dyDescent="0.2">
      <c r="A95" s="186" t="s">
        <v>120</v>
      </c>
      <c r="B95" s="65" t="s">
        <v>179</v>
      </c>
      <c r="C95" s="66" t="s">
        <v>323</v>
      </c>
      <c r="D95" s="29" t="s">
        <v>121</v>
      </c>
      <c r="E95" s="4" t="s">
        <v>406</v>
      </c>
      <c r="F95" s="4" t="s">
        <v>406</v>
      </c>
      <c r="G95" s="18" t="s">
        <v>295</v>
      </c>
      <c r="H95" s="23" t="s">
        <v>261</v>
      </c>
      <c r="I95" s="18">
        <v>80111600</v>
      </c>
      <c r="J95" s="18">
        <v>1</v>
      </c>
      <c r="K95" s="18">
        <v>1</v>
      </c>
      <c r="L95" s="18">
        <v>11</v>
      </c>
      <c r="M95" s="18">
        <v>1</v>
      </c>
      <c r="N95" s="18" t="s">
        <v>25</v>
      </c>
      <c r="O95" s="164" t="s">
        <v>312</v>
      </c>
      <c r="P95" s="188">
        <f>3318115*11</f>
        <v>36499265</v>
      </c>
      <c r="Q95" s="39">
        <v>0</v>
      </c>
      <c r="R95" s="39">
        <v>0</v>
      </c>
      <c r="S95" s="39" t="s">
        <v>313</v>
      </c>
      <c r="T95" s="39" t="s">
        <v>314</v>
      </c>
      <c r="U95" s="24" t="s">
        <v>541</v>
      </c>
      <c r="V95" s="24">
        <v>3846666</v>
      </c>
      <c r="W95" s="27" t="s">
        <v>178</v>
      </c>
      <c r="X95" s="23" t="s">
        <v>496</v>
      </c>
      <c r="Y95" s="18" t="s">
        <v>541</v>
      </c>
      <c r="Z95" s="24"/>
      <c r="AA95" s="24"/>
      <c r="AB95" s="334">
        <f>26544928+5187267+4767070</f>
        <v>36499265</v>
      </c>
      <c r="AC95" s="145">
        <f t="shared" si="0"/>
        <v>0</v>
      </c>
      <c r="AD95" s="226"/>
      <c r="AE95" s="231"/>
      <c r="AF95" s="225">
        <f t="shared" si="1"/>
        <v>0</v>
      </c>
      <c r="AG95" s="243"/>
      <c r="AH95" s="243"/>
      <c r="AI95" s="287"/>
      <c r="AJ95" s="236">
        <f t="shared" si="2"/>
        <v>0</v>
      </c>
      <c r="AK95" s="243"/>
      <c r="AL95" s="243"/>
      <c r="AM95" s="354"/>
      <c r="AN95" s="11" t="s">
        <v>560</v>
      </c>
      <c r="AQ95" s="402"/>
    </row>
    <row r="96" spans="1:43" ht="116.25" customHeight="1" x14ac:dyDescent="0.2">
      <c r="A96" s="186" t="s">
        <v>120</v>
      </c>
      <c r="B96" s="65" t="s">
        <v>179</v>
      </c>
      <c r="C96" s="66" t="s">
        <v>323</v>
      </c>
      <c r="D96" s="29" t="s">
        <v>121</v>
      </c>
      <c r="E96" s="4" t="s">
        <v>406</v>
      </c>
      <c r="F96" s="4" t="s">
        <v>406</v>
      </c>
      <c r="G96" s="18" t="s">
        <v>295</v>
      </c>
      <c r="H96" s="23" t="s">
        <v>540</v>
      </c>
      <c r="I96" s="18">
        <v>80111600</v>
      </c>
      <c r="J96" s="18">
        <v>4</v>
      </c>
      <c r="K96" s="18">
        <v>4</v>
      </c>
      <c r="L96" s="18">
        <v>8</v>
      </c>
      <c r="M96" s="18">
        <v>1</v>
      </c>
      <c r="N96" s="18" t="s">
        <v>25</v>
      </c>
      <c r="O96" s="164" t="s">
        <v>312</v>
      </c>
      <c r="P96" s="188">
        <v>0</v>
      </c>
      <c r="Q96" s="39">
        <v>0</v>
      </c>
      <c r="R96" s="39">
        <v>0</v>
      </c>
      <c r="S96" s="39" t="s">
        <v>313</v>
      </c>
      <c r="T96" s="39" t="s">
        <v>314</v>
      </c>
      <c r="U96" s="24" t="s">
        <v>541</v>
      </c>
      <c r="V96" s="24">
        <v>3846666</v>
      </c>
      <c r="W96" s="27" t="s">
        <v>178</v>
      </c>
      <c r="X96" s="23" t="s">
        <v>496</v>
      </c>
      <c r="Y96" s="18" t="s">
        <v>541</v>
      </c>
      <c r="Z96" s="144">
        <v>26544928</v>
      </c>
      <c r="AA96" s="24"/>
      <c r="AB96" s="24"/>
      <c r="AC96" s="145">
        <f>P96+Z96+AA96-AB96</f>
        <v>26544928</v>
      </c>
      <c r="AD96" s="219">
        <v>11023</v>
      </c>
      <c r="AE96" s="220">
        <v>26544928</v>
      </c>
      <c r="AF96" s="216">
        <f>+AC96-AE96</f>
        <v>0</v>
      </c>
      <c r="AG96" s="241">
        <v>13223</v>
      </c>
      <c r="AH96" s="244">
        <v>45041</v>
      </c>
      <c r="AI96" s="246">
        <v>26544928</v>
      </c>
      <c r="AJ96" s="240">
        <f>+AC96-AI96</f>
        <v>0</v>
      </c>
      <c r="AK96" s="241" t="s">
        <v>551</v>
      </c>
      <c r="AL96" s="241" t="s">
        <v>552</v>
      </c>
      <c r="AM96" s="380">
        <f>663623+3318116+3318116+3318116+3318116+3318116+3318116+2654493+3318116</f>
        <v>26544928</v>
      </c>
      <c r="AN96" s="13" t="s">
        <v>421</v>
      </c>
      <c r="AQ96" s="402"/>
    </row>
    <row r="97" spans="1:43" ht="116.25" customHeight="1" x14ac:dyDescent="0.2">
      <c r="A97" s="186" t="s">
        <v>120</v>
      </c>
      <c r="B97" s="65" t="s">
        <v>179</v>
      </c>
      <c r="C97" s="66" t="s">
        <v>323</v>
      </c>
      <c r="D97" s="29" t="s">
        <v>121</v>
      </c>
      <c r="E97" s="4" t="s">
        <v>406</v>
      </c>
      <c r="F97" s="4" t="s">
        <v>406</v>
      </c>
      <c r="G97" s="18" t="s">
        <v>295</v>
      </c>
      <c r="H97" s="18" t="s">
        <v>408</v>
      </c>
      <c r="I97" s="18">
        <v>80111600</v>
      </c>
      <c r="J97" s="18">
        <v>1</v>
      </c>
      <c r="K97" s="18">
        <v>1</v>
      </c>
      <c r="L97" s="18">
        <v>9</v>
      </c>
      <c r="M97" s="18">
        <v>1</v>
      </c>
      <c r="N97" s="18" t="s">
        <v>25</v>
      </c>
      <c r="O97" s="191" t="s">
        <v>312</v>
      </c>
      <c r="P97" s="192">
        <f>3318115*9</f>
        <v>29863035</v>
      </c>
      <c r="Q97" s="39">
        <v>0</v>
      </c>
      <c r="R97" s="39">
        <v>0</v>
      </c>
      <c r="S97" s="39" t="s">
        <v>313</v>
      </c>
      <c r="T97" s="39" t="s">
        <v>314</v>
      </c>
      <c r="U97" s="24" t="s">
        <v>541</v>
      </c>
      <c r="V97" s="23">
        <v>3846666</v>
      </c>
      <c r="W97" s="27" t="s">
        <v>178</v>
      </c>
      <c r="X97" s="23" t="s">
        <v>496</v>
      </c>
      <c r="Y97" s="18" t="s">
        <v>541</v>
      </c>
      <c r="Z97" s="26"/>
      <c r="AA97" s="101"/>
      <c r="AB97" s="101"/>
      <c r="AC97" s="145">
        <f t="shared" si="0"/>
        <v>29863035</v>
      </c>
      <c r="AD97" s="219">
        <v>6923</v>
      </c>
      <c r="AE97" s="220">
        <v>9401000</v>
      </c>
      <c r="AF97" s="216">
        <f t="shared" si="1"/>
        <v>20462035</v>
      </c>
      <c r="AG97" s="241">
        <v>6723</v>
      </c>
      <c r="AH97" s="244">
        <v>44992</v>
      </c>
      <c r="AI97" s="246">
        <v>9401000</v>
      </c>
      <c r="AJ97" s="240">
        <f t="shared" si="2"/>
        <v>20462035</v>
      </c>
      <c r="AK97" s="241" t="s">
        <v>514</v>
      </c>
      <c r="AL97" s="241" t="s">
        <v>515</v>
      </c>
      <c r="AM97" s="376">
        <f>2765000+3318000+3318000</f>
        <v>9401000</v>
      </c>
      <c r="AN97" s="12"/>
      <c r="AQ97" s="402"/>
    </row>
    <row r="98" spans="1:43" ht="116.25" customHeight="1" x14ac:dyDescent="0.2">
      <c r="A98" s="186" t="s">
        <v>120</v>
      </c>
      <c r="B98" s="65" t="s">
        <v>179</v>
      </c>
      <c r="C98" s="66" t="s">
        <v>323</v>
      </c>
      <c r="D98" s="29" t="s">
        <v>121</v>
      </c>
      <c r="E98" s="4" t="s">
        <v>406</v>
      </c>
      <c r="F98" s="4" t="s">
        <v>406</v>
      </c>
      <c r="G98" s="18" t="s">
        <v>295</v>
      </c>
      <c r="H98" s="23" t="s">
        <v>262</v>
      </c>
      <c r="I98" s="18" t="s">
        <v>263</v>
      </c>
      <c r="J98" s="18">
        <v>2</v>
      </c>
      <c r="K98" s="18">
        <v>2</v>
      </c>
      <c r="L98" s="18">
        <v>10</v>
      </c>
      <c r="M98" s="18">
        <v>1</v>
      </c>
      <c r="N98" s="18" t="s">
        <v>264</v>
      </c>
      <c r="O98" s="164" t="s">
        <v>312</v>
      </c>
      <c r="P98" s="188">
        <v>14000000</v>
      </c>
      <c r="Q98" s="39">
        <v>0</v>
      </c>
      <c r="R98" s="39">
        <v>0</v>
      </c>
      <c r="S98" s="39" t="s">
        <v>313</v>
      </c>
      <c r="T98" s="39" t="s">
        <v>314</v>
      </c>
      <c r="U98" s="24" t="s">
        <v>541</v>
      </c>
      <c r="V98" s="24">
        <v>3846666</v>
      </c>
      <c r="W98" s="27" t="s">
        <v>178</v>
      </c>
      <c r="X98" s="18" t="s">
        <v>26</v>
      </c>
      <c r="Y98" s="18" t="s">
        <v>541</v>
      </c>
      <c r="Z98" s="24"/>
      <c r="AA98" s="24"/>
      <c r="AB98" s="334">
        <v>824612</v>
      </c>
      <c r="AC98" s="145">
        <f t="shared" si="0"/>
        <v>13175388</v>
      </c>
      <c r="AD98" s="195">
        <v>16023</v>
      </c>
      <c r="AE98" s="203">
        <f>13766670-591282</f>
        <v>13175388</v>
      </c>
      <c r="AF98" s="210">
        <f t="shared" si="1"/>
        <v>0</v>
      </c>
      <c r="AG98" s="241">
        <v>20923</v>
      </c>
      <c r="AH98" s="244">
        <v>45091</v>
      </c>
      <c r="AI98" s="246">
        <v>13175388</v>
      </c>
      <c r="AJ98" s="240">
        <f t="shared" si="2"/>
        <v>0</v>
      </c>
      <c r="AK98" s="241" t="s">
        <v>711</v>
      </c>
      <c r="AL98" s="241" t="s">
        <v>712</v>
      </c>
      <c r="AM98" s="371">
        <f>1375962.49+1966571+1966571+1966571+1966571+1966571+1966571-0.49</f>
        <v>13175388</v>
      </c>
      <c r="AN98" s="13" t="s">
        <v>557</v>
      </c>
      <c r="AQ98" s="402"/>
    </row>
    <row r="99" spans="1:43" ht="116.25" customHeight="1" x14ac:dyDescent="0.2">
      <c r="A99" s="186" t="s">
        <v>120</v>
      </c>
      <c r="B99" s="65" t="s">
        <v>179</v>
      </c>
      <c r="C99" s="66" t="s">
        <v>323</v>
      </c>
      <c r="D99" s="29" t="s">
        <v>121</v>
      </c>
      <c r="E99" s="4" t="s">
        <v>406</v>
      </c>
      <c r="F99" s="4" t="s">
        <v>406</v>
      </c>
      <c r="G99" s="38" t="s">
        <v>383</v>
      </c>
      <c r="H99" s="40" t="s">
        <v>407</v>
      </c>
      <c r="I99" s="38">
        <v>80111600</v>
      </c>
      <c r="J99" s="38">
        <v>1</v>
      </c>
      <c r="K99" s="38">
        <v>1</v>
      </c>
      <c r="L99" s="38">
        <v>11</v>
      </c>
      <c r="M99" s="38">
        <v>1</v>
      </c>
      <c r="N99" s="38" t="s">
        <v>25</v>
      </c>
      <c r="O99" s="164" t="s">
        <v>312</v>
      </c>
      <c r="P99" s="188">
        <f>3318115*11</f>
        <v>36499265</v>
      </c>
      <c r="Q99" s="88">
        <v>0</v>
      </c>
      <c r="R99" s="88">
        <v>0</v>
      </c>
      <c r="S99" s="88" t="s">
        <v>313</v>
      </c>
      <c r="T99" s="88" t="s">
        <v>314</v>
      </c>
      <c r="U99" s="66" t="s">
        <v>541</v>
      </c>
      <c r="V99" s="66">
        <v>3846666</v>
      </c>
      <c r="W99" s="89" t="s">
        <v>178</v>
      </c>
      <c r="X99" s="38" t="s">
        <v>496</v>
      </c>
      <c r="Y99" s="38" t="s">
        <v>541</v>
      </c>
      <c r="Z99" s="66"/>
      <c r="AA99" s="66"/>
      <c r="AB99" s="66"/>
      <c r="AC99" s="158">
        <f t="shared" si="0"/>
        <v>36499265</v>
      </c>
      <c r="AD99" s="195" t="s">
        <v>588</v>
      </c>
      <c r="AE99" s="203">
        <f>13272460+23226805</f>
        <v>36499265</v>
      </c>
      <c r="AF99" s="210">
        <f t="shared" si="1"/>
        <v>0</v>
      </c>
      <c r="AG99" s="241" t="s">
        <v>642</v>
      </c>
      <c r="AH99" s="255" t="s">
        <v>626</v>
      </c>
      <c r="AI99" s="246">
        <f>13272460+23226805</f>
        <v>36499265</v>
      </c>
      <c r="AJ99" s="240">
        <f t="shared" si="2"/>
        <v>0</v>
      </c>
      <c r="AK99" s="245" t="s">
        <v>643</v>
      </c>
      <c r="AL99" s="245" t="s">
        <v>452</v>
      </c>
      <c r="AM99" s="376">
        <f>3318115+3318115+3318115+3318115+3318115+3318115+3318115+3318115+3318115+3318115+3318115</f>
        <v>36499265</v>
      </c>
      <c r="AN99" s="12"/>
      <c r="AQ99" s="402"/>
    </row>
    <row r="100" spans="1:43" ht="116.25" customHeight="1" x14ac:dyDescent="0.2">
      <c r="A100" s="186" t="s">
        <v>123</v>
      </c>
      <c r="B100" s="65" t="s">
        <v>179</v>
      </c>
      <c r="C100" s="24" t="s">
        <v>296</v>
      </c>
      <c r="D100" s="138" t="s">
        <v>124</v>
      </c>
      <c r="E100" s="32" t="s">
        <v>235</v>
      </c>
      <c r="F100" s="103" t="s">
        <v>238</v>
      </c>
      <c r="G100" s="103" t="s">
        <v>246</v>
      </c>
      <c r="H100" s="103" t="s">
        <v>240</v>
      </c>
      <c r="I100" s="103">
        <v>80111600</v>
      </c>
      <c r="J100" s="103">
        <v>1</v>
      </c>
      <c r="K100" s="103">
        <v>1</v>
      </c>
      <c r="L100" s="103">
        <v>11</v>
      </c>
      <c r="M100" s="103">
        <v>1</v>
      </c>
      <c r="N100" s="103" t="s">
        <v>25</v>
      </c>
      <c r="O100" s="187" t="s">
        <v>312</v>
      </c>
      <c r="P100" s="188">
        <v>36499265</v>
      </c>
      <c r="Q100" s="104">
        <v>0</v>
      </c>
      <c r="R100" s="104">
        <v>0</v>
      </c>
      <c r="S100" s="104" t="s">
        <v>313</v>
      </c>
      <c r="T100" s="104" t="s">
        <v>314</v>
      </c>
      <c r="U100" s="105" t="s">
        <v>541</v>
      </c>
      <c r="V100" s="105">
        <v>3846666</v>
      </c>
      <c r="W100" s="106" t="s">
        <v>178</v>
      </c>
      <c r="X100" s="102" t="s">
        <v>496</v>
      </c>
      <c r="Y100" s="102" t="s">
        <v>825</v>
      </c>
      <c r="Z100" s="105"/>
      <c r="AA100" s="105"/>
      <c r="AB100" s="357">
        <f>2000000+1539312</f>
        <v>3539312</v>
      </c>
      <c r="AC100" s="157">
        <f t="shared" si="0"/>
        <v>32959953</v>
      </c>
      <c r="AD100" s="195" t="s">
        <v>679</v>
      </c>
      <c r="AE100" s="196">
        <f>11613403-553016+22673793-774227</f>
        <v>32959953</v>
      </c>
      <c r="AF100" s="210">
        <f t="shared" si="1"/>
        <v>0</v>
      </c>
      <c r="AG100" s="237" t="s">
        <v>919</v>
      </c>
      <c r="AH100" s="242" t="s">
        <v>718</v>
      </c>
      <c r="AI100" s="239">
        <f>11060387+21899566</f>
        <v>32959953</v>
      </c>
      <c r="AJ100" s="240">
        <f t="shared" si="2"/>
        <v>0</v>
      </c>
      <c r="AK100" s="245" t="s">
        <v>721</v>
      </c>
      <c r="AL100" s="242" t="s">
        <v>481</v>
      </c>
      <c r="AM100" s="387">
        <f>1106039+3318116+3318116+3318116+1990870+3318116+3318116+3318116+3318116+3318116+3318116</f>
        <v>32959953</v>
      </c>
      <c r="AN100" s="13" t="s">
        <v>557</v>
      </c>
      <c r="AQ100" s="402"/>
    </row>
    <row r="101" spans="1:43" ht="116.25" customHeight="1" x14ac:dyDescent="0.2">
      <c r="A101" s="186" t="s">
        <v>123</v>
      </c>
      <c r="B101" s="65" t="s">
        <v>179</v>
      </c>
      <c r="C101" s="24" t="s">
        <v>296</v>
      </c>
      <c r="D101" s="137" t="s">
        <v>124</v>
      </c>
      <c r="E101" s="5" t="s">
        <v>235</v>
      </c>
      <c r="F101" s="86" t="s">
        <v>238</v>
      </c>
      <c r="G101" s="41" t="s">
        <v>247</v>
      </c>
      <c r="H101" s="41" t="s">
        <v>241</v>
      </c>
      <c r="I101" s="86">
        <v>80111600</v>
      </c>
      <c r="J101" s="86">
        <v>1</v>
      </c>
      <c r="K101" s="86">
        <v>1</v>
      </c>
      <c r="L101" s="86">
        <v>11</v>
      </c>
      <c r="M101" s="86">
        <v>1</v>
      </c>
      <c r="N101" s="86" t="s">
        <v>25</v>
      </c>
      <c r="O101" s="187" t="s">
        <v>312</v>
      </c>
      <c r="P101" s="188">
        <f>3318115*11</f>
        <v>36499265</v>
      </c>
      <c r="Q101" s="91">
        <v>0</v>
      </c>
      <c r="R101" s="91">
        <v>0</v>
      </c>
      <c r="S101" s="91" t="s">
        <v>313</v>
      </c>
      <c r="T101" s="91" t="s">
        <v>314</v>
      </c>
      <c r="U101" s="92" t="s">
        <v>541</v>
      </c>
      <c r="V101" s="92">
        <v>3846666</v>
      </c>
      <c r="W101" s="93" t="s">
        <v>178</v>
      </c>
      <c r="X101" s="41" t="s">
        <v>496</v>
      </c>
      <c r="Y101" s="86" t="s">
        <v>825</v>
      </c>
      <c r="Z101" s="92"/>
      <c r="AA101" s="92"/>
      <c r="AB101" s="262">
        <f>3000000+3000000</f>
        <v>6000000</v>
      </c>
      <c r="AC101" s="156">
        <f t="shared" si="0"/>
        <v>30499265</v>
      </c>
      <c r="AD101" s="195">
        <v>6723</v>
      </c>
      <c r="AE101" s="196">
        <f>26544928-221208</f>
        <v>26323720</v>
      </c>
      <c r="AF101" s="210">
        <f t="shared" si="1"/>
        <v>4175545</v>
      </c>
      <c r="AG101" s="241">
        <v>6423</v>
      </c>
      <c r="AH101" s="244">
        <v>44988</v>
      </c>
      <c r="AI101" s="288">
        <v>26323720</v>
      </c>
      <c r="AJ101" s="240">
        <f t="shared" si="2"/>
        <v>4175545</v>
      </c>
      <c r="AK101" s="241" t="s">
        <v>516</v>
      </c>
      <c r="AL101" s="241" t="s">
        <v>517</v>
      </c>
      <c r="AM101" s="387">
        <f>3096907.99+3318116+3318116+3318116+3318116+3318116+3318116+3318116+0.01</f>
        <v>26323720.000000004</v>
      </c>
      <c r="AN101" s="13" t="s">
        <v>815</v>
      </c>
      <c r="AQ101" s="402"/>
    </row>
    <row r="102" spans="1:43" ht="116.25" customHeight="1" x14ac:dyDescent="0.2">
      <c r="A102" s="186" t="s">
        <v>123</v>
      </c>
      <c r="B102" s="65" t="s">
        <v>179</v>
      </c>
      <c r="C102" s="24" t="s">
        <v>296</v>
      </c>
      <c r="D102" s="137" t="s">
        <v>124</v>
      </c>
      <c r="E102" s="5" t="s">
        <v>235</v>
      </c>
      <c r="F102" s="102" t="s">
        <v>238</v>
      </c>
      <c r="G102" s="102" t="s">
        <v>325</v>
      </c>
      <c r="H102" s="103" t="s">
        <v>242</v>
      </c>
      <c r="I102" s="102">
        <v>80111600</v>
      </c>
      <c r="J102" s="102">
        <v>1</v>
      </c>
      <c r="K102" s="102">
        <v>1</v>
      </c>
      <c r="L102" s="102">
        <v>11</v>
      </c>
      <c r="M102" s="102">
        <v>1</v>
      </c>
      <c r="N102" s="102" t="s">
        <v>25</v>
      </c>
      <c r="O102" s="187" t="s">
        <v>312</v>
      </c>
      <c r="P102" s="188">
        <v>16432000</v>
      </c>
      <c r="Q102" s="104">
        <v>0</v>
      </c>
      <c r="R102" s="104">
        <v>0</v>
      </c>
      <c r="S102" s="104" t="s">
        <v>313</v>
      </c>
      <c r="T102" s="104" t="s">
        <v>314</v>
      </c>
      <c r="U102" s="105" t="s">
        <v>541</v>
      </c>
      <c r="V102" s="105">
        <v>3846666</v>
      </c>
      <c r="W102" s="106" t="s">
        <v>178</v>
      </c>
      <c r="X102" s="102" t="s">
        <v>169</v>
      </c>
      <c r="Y102" s="102" t="s">
        <v>285</v>
      </c>
      <c r="Z102" s="105"/>
      <c r="AA102" s="105"/>
      <c r="AB102" s="105"/>
      <c r="AC102" s="157">
        <f t="shared" si="0"/>
        <v>16432000</v>
      </c>
      <c r="AD102" s="195" t="s">
        <v>678</v>
      </c>
      <c r="AE102" s="196">
        <f>6663275-317298+10086023</f>
        <v>16432000</v>
      </c>
      <c r="AF102" s="210">
        <f t="shared" si="1"/>
        <v>0</v>
      </c>
      <c r="AG102" s="237" t="s">
        <v>717</v>
      </c>
      <c r="AH102" s="242" t="s">
        <v>718</v>
      </c>
      <c r="AI102" s="239">
        <f>6345977+10086023</f>
        <v>16432000</v>
      </c>
      <c r="AJ102" s="240">
        <f t="shared" si="2"/>
        <v>0</v>
      </c>
      <c r="AK102" s="245" t="s">
        <v>719</v>
      </c>
      <c r="AL102" s="242" t="s">
        <v>480</v>
      </c>
      <c r="AM102" s="387">
        <f>1903793+634598+1903793+1903793+1142276+1903793+1903793+1328575+575218+1903793+1328575</f>
        <v>16432000</v>
      </c>
      <c r="AN102" s="13"/>
      <c r="AP102" s="402"/>
      <c r="AQ102" s="402"/>
    </row>
    <row r="103" spans="1:43" ht="116.25" customHeight="1" x14ac:dyDescent="0.2">
      <c r="A103" s="186" t="s">
        <v>123</v>
      </c>
      <c r="B103" s="65" t="s">
        <v>179</v>
      </c>
      <c r="C103" s="24" t="s">
        <v>296</v>
      </c>
      <c r="D103" s="137" t="s">
        <v>124</v>
      </c>
      <c r="E103" s="5" t="s">
        <v>235</v>
      </c>
      <c r="F103" s="102" t="s">
        <v>238</v>
      </c>
      <c r="G103" s="102" t="s">
        <v>325</v>
      </c>
      <c r="H103" s="103" t="s">
        <v>242</v>
      </c>
      <c r="I103" s="102">
        <v>80111600</v>
      </c>
      <c r="J103" s="102">
        <v>1</v>
      </c>
      <c r="K103" s="102">
        <v>1</v>
      </c>
      <c r="L103" s="102">
        <v>11</v>
      </c>
      <c r="M103" s="102">
        <v>1</v>
      </c>
      <c r="N103" s="102" t="s">
        <v>25</v>
      </c>
      <c r="O103" s="187" t="s">
        <v>386</v>
      </c>
      <c r="P103" s="188">
        <v>4556000</v>
      </c>
      <c r="Q103" s="104">
        <v>0</v>
      </c>
      <c r="R103" s="104">
        <v>0</v>
      </c>
      <c r="S103" s="104" t="s">
        <v>313</v>
      </c>
      <c r="T103" s="104" t="s">
        <v>314</v>
      </c>
      <c r="U103" s="105" t="s">
        <v>541</v>
      </c>
      <c r="V103" s="105">
        <v>3846666</v>
      </c>
      <c r="W103" s="106" t="s">
        <v>178</v>
      </c>
      <c r="X103" s="102" t="s">
        <v>169</v>
      </c>
      <c r="Y103" s="102" t="s">
        <v>285</v>
      </c>
      <c r="Z103" s="105"/>
      <c r="AA103" s="105"/>
      <c r="AB103" s="105"/>
      <c r="AC103" s="157">
        <f t="shared" si="0"/>
        <v>4556000</v>
      </c>
      <c r="AD103" s="195">
        <v>19023</v>
      </c>
      <c r="AE103" s="196">
        <f>2923229-444218</f>
        <v>2479011</v>
      </c>
      <c r="AF103" s="210">
        <f t="shared" si="1"/>
        <v>2076989</v>
      </c>
      <c r="AG103" s="241">
        <v>20723</v>
      </c>
      <c r="AH103" s="244">
        <v>45090</v>
      </c>
      <c r="AI103" s="239">
        <v>2479011</v>
      </c>
      <c r="AJ103" s="240">
        <f t="shared" si="2"/>
        <v>2076989</v>
      </c>
      <c r="AK103" s="241" t="s">
        <v>720</v>
      </c>
      <c r="AL103" s="242" t="s">
        <v>480</v>
      </c>
      <c r="AM103" s="387">
        <f>1903793+575218</f>
        <v>2479011</v>
      </c>
      <c r="AN103" s="13"/>
      <c r="AP103" s="402">
        <f>AI103-AM103</f>
        <v>0</v>
      </c>
      <c r="AQ103" s="402"/>
    </row>
    <row r="104" spans="1:43" ht="116.25" customHeight="1" x14ac:dyDescent="0.2">
      <c r="A104" s="186" t="s">
        <v>123</v>
      </c>
      <c r="B104" s="65" t="s">
        <v>179</v>
      </c>
      <c r="C104" s="24" t="s">
        <v>296</v>
      </c>
      <c r="D104" s="137" t="s">
        <v>124</v>
      </c>
      <c r="E104" s="5" t="s">
        <v>235</v>
      </c>
      <c r="F104" s="102" t="s">
        <v>238</v>
      </c>
      <c r="G104" s="102" t="s">
        <v>325</v>
      </c>
      <c r="H104" s="103" t="s">
        <v>260</v>
      </c>
      <c r="I104" s="102">
        <v>80111600</v>
      </c>
      <c r="J104" s="102">
        <v>1</v>
      </c>
      <c r="K104" s="102">
        <v>1</v>
      </c>
      <c r="L104" s="102">
        <v>6</v>
      </c>
      <c r="M104" s="102">
        <v>1</v>
      </c>
      <c r="N104" s="102" t="s">
        <v>25</v>
      </c>
      <c r="O104" s="187" t="s">
        <v>312</v>
      </c>
      <c r="P104" s="188">
        <f>3318115*6</f>
        <v>19908690</v>
      </c>
      <c r="Q104" s="104">
        <v>0</v>
      </c>
      <c r="R104" s="104">
        <v>0</v>
      </c>
      <c r="S104" s="104" t="s">
        <v>313</v>
      </c>
      <c r="T104" s="104" t="s">
        <v>314</v>
      </c>
      <c r="U104" s="105" t="s">
        <v>541</v>
      </c>
      <c r="V104" s="105">
        <v>3846666</v>
      </c>
      <c r="W104" s="106" t="s">
        <v>178</v>
      </c>
      <c r="X104" s="103" t="s">
        <v>496</v>
      </c>
      <c r="Y104" s="102" t="s">
        <v>825</v>
      </c>
      <c r="Z104" s="105"/>
      <c r="AA104" s="105"/>
      <c r="AB104" s="357">
        <v>19908690</v>
      </c>
      <c r="AC104" s="157">
        <f t="shared" si="0"/>
        <v>0</v>
      </c>
      <c r="AD104" s="226"/>
      <c r="AE104" s="232"/>
      <c r="AF104" s="225">
        <f t="shared" si="1"/>
        <v>0</v>
      </c>
      <c r="AG104" s="243"/>
      <c r="AH104" s="243"/>
      <c r="AI104" s="287"/>
      <c r="AJ104" s="236">
        <f t="shared" si="2"/>
        <v>0</v>
      </c>
      <c r="AK104" s="243"/>
      <c r="AL104" s="243"/>
      <c r="AM104" s="281"/>
      <c r="AN104" s="13" t="s">
        <v>557</v>
      </c>
      <c r="AQ104" s="402"/>
    </row>
    <row r="105" spans="1:43" ht="114.75" customHeight="1" x14ac:dyDescent="0.2">
      <c r="A105" s="186" t="s">
        <v>123</v>
      </c>
      <c r="B105" s="65" t="s">
        <v>179</v>
      </c>
      <c r="C105" s="24" t="s">
        <v>296</v>
      </c>
      <c r="D105" s="137" t="s">
        <v>124</v>
      </c>
      <c r="E105" s="5" t="s">
        <v>235</v>
      </c>
      <c r="F105" s="102" t="s">
        <v>238</v>
      </c>
      <c r="G105" s="102" t="s">
        <v>325</v>
      </c>
      <c r="H105" s="103" t="s">
        <v>119</v>
      </c>
      <c r="I105" s="102">
        <v>78111502</v>
      </c>
      <c r="J105" s="102">
        <v>3</v>
      </c>
      <c r="K105" s="102">
        <v>3</v>
      </c>
      <c r="L105" s="102">
        <v>9</v>
      </c>
      <c r="M105" s="102">
        <v>1</v>
      </c>
      <c r="N105" s="102" t="s">
        <v>25</v>
      </c>
      <c r="O105" s="187" t="s">
        <v>312</v>
      </c>
      <c r="P105" s="188">
        <v>9000000</v>
      </c>
      <c r="Q105" s="104">
        <v>0</v>
      </c>
      <c r="R105" s="104">
        <v>0</v>
      </c>
      <c r="S105" s="104" t="s">
        <v>313</v>
      </c>
      <c r="T105" s="104" t="s">
        <v>314</v>
      </c>
      <c r="U105" s="105" t="s">
        <v>284</v>
      </c>
      <c r="V105" s="105">
        <v>3846666</v>
      </c>
      <c r="W105" s="106" t="s">
        <v>23</v>
      </c>
      <c r="X105" s="105" t="s">
        <v>250</v>
      </c>
      <c r="Y105" s="102" t="s">
        <v>41</v>
      </c>
      <c r="Z105" s="105"/>
      <c r="AA105" s="357">
        <v>3000000</v>
      </c>
      <c r="AB105" s="105"/>
      <c r="AC105" s="157">
        <f t="shared" si="0"/>
        <v>12000000</v>
      </c>
      <c r="AD105" s="397" t="s">
        <v>921</v>
      </c>
      <c r="AE105" s="224">
        <f>9000000+3000000</f>
        <v>12000000</v>
      </c>
      <c r="AF105" s="210">
        <f t="shared" si="1"/>
        <v>0</v>
      </c>
      <c r="AG105" s="398" t="s">
        <v>931</v>
      </c>
      <c r="AH105" s="255" t="s">
        <v>932</v>
      </c>
      <c r="AI105" s="246">
        <f>9000000+3000000</f>
        <v>12000000</v>
      </c>
      <c r="AJ105" s="240">
        <f t="shared" si="2"/>
        <v>0</v>
      </c>
      <c r="AK105" s="245" t="s">
        <v>933</v>
      </c>
      <c r="AL105" s="245" t="s">
        <v>605</v>
      </c>
      <c r="AM105" s="371">
        <f>7362464+1369130</f>
        <v>8731594</v>
      </c>
      <c r="AN105" s="13" t="s">
        <v>815</v>
      </c>
      <c r="AO105" s="8" t="s">
        <v>998</v>
      </c>
      <c r="AP105" s="402"/>
      <c r="AQ105" s="402"/>
    </row>
    <row r="106" spans="1:43" ht="116.25" customHeight="1" x14ac:dyDescent="0.2">
      <c r="A106" s="186" t="s">
        <v>123</v>
      </c>
      <c r="B106" s="65" t="s">
        <v>179</v>
      </c>
      <c r="C106" s="24" t="s">
        <v>296</v>
      </c>
      <c r="D106" s="137" t="s">
        <v>124</v>
      </c>
      <c r="E106" s="5" t="s">
        <v>235</v>
      </c>
      <c r="F106" s="102" t="s">
        <v>238</v>
      </c>
      <c r="G106" s="102" t="s">
        <v>325</v>
      </c>
      <c r="H106" s="103" t="s">
        <v>229</v>
      </c>
      <c r="I106" s="102" t="s">
        <v>1</v>
      </c>
      <c r="J106" s="102" t="s">
        <v>1</v>
      </c>
      <c r="K106" s="102" t="s">
        <v>1</v>
      </c>
      <c r="L106" s="102" t="s">
        <v>1</v>
      </c>
      <c r="M106" s="102" t="s">
        <v>1</v>
      </c>
      <c r="N106" s="102" t="s">
        <v>45</v>
      </c>
      <c r="O106" s="187" t="s">
        <v>386</v>
      </c>
      <c r="P106" s="188">
        <v>15444000</v>
      </c>
      <c r="Q106" s="104">
        <v>0</v>
      </c>
      <c r="R106" s="104">
        <v>0</v>
      </c>
      <c r="S106" s="104" t="s">
        <v>313</v>
      </c>
      <c r="T106" s="104" t="s">
        <v>314</v>
      </c>
      <c r="U106" s="105" t="s">
        <v>541</v>
      </c>
      <c r="V106" s="105">
        <v>3846666</v>
      </c>
      <c r="W106" s="106" t="s">
        <v>178</v>
      </c>
      <c r="X106" s="105" t="s">
        <v>249</v>
      </c>
      <c r="Y106" s="102" t="s">
        <v>1</v>
      </c>
      <c r="Z106" s="105"/>
      <c r="AA106" s="105"/>
      <c r="AB106" s="105"/>
      <c r="AC106" s="157">
        <f t="shared" si="0"/>
        <v>15444000</v>
      </c>
      <c r="AD106" s="223" t="s">
        <v>878</v>
      </c>
      <c r="AE106" s="196">
        <f>1191542+926755+1191542-926755+1046021+926755+1062247+1541507+1541507+1198950+1062247+685114-1062247+1365746-1365746+1365746+1403260-280652+685114+685114+1198950</f>
        <v>15442717</v>
      </c>
      <c r="AF106" s="210">
        <f t="shared" ref="AF106:AF142" si="16">+AC106-AE106</f>
        <v>1283</v>
      </c>
      <c r="AG106" s="245" t="s">
        <v>884</v>
      </c>
      <c r="AH106" s="255" t="s">
        <v>885</v>
      </c>
      <c r="AI106" s="253">
        <f>1191542+1191542+1046021+926755+1541507+1062247+1541507+1198950+685114+1365746+685114+1122608+685114+1198950</f>
        <v>15442717</v>
      </c>
      <c r="AJ106" s="240">
        <f t="shared" ref="AJ106:AJ175" si="17">+AC106-AI106</f>
        <v>1283</v>
      </c>
      <c r="AK106" s="241" t="s">
        <v>53</v>
      </c>
      <c r="AL106" s="245" t="s">
        <v>886</v>
      </c>
      <c r="AM106" s="372">
        <f>1191542+1191542+1046021+926755+1541507+1062247+1541507+1198950+1122608+685114+685114+1198950+1198950+685114+166796</f>
        <v>15442717</v>
      </c>
      <c r="AN106" s="12"/>
      <c r="AP106" s="402">
        <f>AI106-AM106</f>
        <v>0</v>
      </c>
      <c r="AQ106" s="402"/>
    </row>
    <row r="107" spans="1:43" ht="116.25" customHeight="1" x14ac:dyDescent="0.2">
      <c r="A107" s="186" t="s">
        <v>123</v>
      </c>
      <c r="B107" s="65" t="s">
        <v>179</v>
      </c>
      <c r="C107" s="24" t="s">
        <v>296</v>
      </c>
      <c r="D107" s="137" t="s">
        <v>124</v>
      </c>
      <c r="E107" s="5" t="s">
        <v>235</v>
      </c>
      <c r="F107" s="102" t="s">
        <v>238</v>
      </c>
      <c r="G107" s="102" t="s">
        <v>325</v>
      </c>
      <c r="H107" s="103" t="s">
        <v>229</v>
      </c>
      <c r="I107" s="102" t="s">
        <v>1</v>
      </c>
      <c r="J107" s="102" t="s">
        <v>1</v>
      </c>
      <c r="K107" s="102" t="s">
        <v>1</v>
      </c>
      <c r="L107" s="102" t="s">
        <v>1</v>
      </c>
      <c r="M107" s="102" t="s">
        <v>1</v>
      </c>
      <c r="N107" s="102" t="s">
        <v>45</v>
      </c>
      <c r="O107" s="187" t="s">
        <v>312</v>
      </c>
      <c r="P107" s="188">
        <v>0</v>
      </c>
      <c r="Q107" s="104">
        <v>0</v>
      </c>
      <c r="R107" s="104">
        <v>0</v>
      </c>
      <c r="S107" s="104" t="s">
        <v>313</v>
      </c>
      <c r="T107" s="104" t="s">
        <v>314</v>
      </c>
      <c r="U107" s="105" t="s">
        <v>541</v>
      </c>
      <c r="V107" s="105">
        <v>3846666</v>
      </c>
      <c r="W107" s="106" t="s">
        <v>178</v>
      </c>
      <c r="X107" s="105" t="s">
        <v>249</v>
      </c>
      <c r="Y107" s="102" t="s">
        <v>1</v>
      </c>
      <c r="Z107" s="357">
        <v>2000000</v>
      </c>
      <c r="AA107" s="357">
        <v>2500000</v>
      </c>
      <c r="AB107" s="105"/>
      <c r="AC107" s="157">
        <f>P107+Z107+AA107-AB107</f>
        <v>4500000</v>
      </c>
      <c r="AD107" s="392" t="s">
        <v>954</v>
      </c>
      <c r="AE107" s="232">
        <f>1062247+147060+1198950+1062247+340710+227140</f>
        <v>4038354</v>
      </c>
      <c r="AF107" s="225">
        <f>+AC107-AE107</f>
        <v>461646</v>
      </c>
      <c r="AG107" s="228" t="s">
        <v>937</v>
      </c>
      <c r="AH107" s="364" t="s">
        <v>938</v>
      </c>
      <c r="AI107" s="254">
        <f>1062247+147060+1198950+1062247+567850</f>
        <v>4038354</v>
      </c>
      <c r="AJ107" s="236">
        <f>+AC107-AI107</f>
        <v>461646</v>
      </c>
      <c r="AK107" s="243" t="s">
        <v>249</v>
      </c>
      <c r="AL107" s="228" t="s">
        <v>939</v>
      </c>
      <c r="AM107" s="372">
        <f>1062247+147060+1198950+1062247+567850</f>
        <v>4038354</v>
      </c>
      <c r="AN107" s="11" t="s">
        <v>816</v>
      </c>
      <c r="AQ107" s="402"/>
    </row>
    <row r="108" spans="1:43" ht="116.25" customHeight="1" x14ac:dyDescent="0.2">
      <c r="A108" s="186" t="s">
        <v>123</v>
      </c>
      <c r="B108" s="65" t="s">
        <v>179</v>
      </c>
      <c r="C108" s="24" t="s">
        <v>296</v>
      </c>
      <c r="D108" s="137" t="s">
        <v>124</v>
      </c>
      <c r="E108" s="5" t="s">
        <v>235</v>
      </c>
      <c r="F108" s="102" t="s">
        <v>238</v>
      </c>
      <c r="G108" s="102" t="s">
        <v>325</v>
      </c>
      <c r="H108" s="103" t="s">
        <v>230</v>
      </c>
      <c r="I108" s="102" t="s">
        <v>1</v>
      </c>
      <c r="J108" s="102" t="s">
        <v>1</v>
      </c>
      <c r="K108" s="102" t="s">
        <v>1</v>
      </c>
      <c r="L108" s="102" t="s">
        <v>1</v>
      </c>
      <c r="M108" s="102" t="s">
        <v>1</v>
      </c>
      <c r="N108" s="102" t="s">
        <v>45</v>
      </c>
      <c r="O108" s="187" t="s">
        <v>312</v>
      </c>
      <c r="P108" s="188">
        <v>2296000</v>
      </c>
      <c r="Q108" s="104">
        <v>0</v>
      </c>
      <c r="R108" s="104">
        <v>0</v>
      </c>
      <c r="S108" s="104" t="s">
        <v>313</v>
      </c>
      <c r="T108" s="104" t="s">
        <v>314</v>
      </c>
      <c r="U108" s="105" t="s">
        <v>541</v>
      </c>
      <c r="V108" s="105">
        <v>3846666</v>
      </c>
      <c r="W108" s="106" t="s">
        <v>178</v>
      </c>
      <c r="X108" s="105" t="s">
        <v>251</v>
      </c>
      <c r="Y108" s="102" t="s">
        <v>1</v>
      </c>
      <c r="Z108" s="105"/>
      <c r="AA108" s="357">
        <f>500000+500000</f>
        <v>1000000</v>
      </c>
      <c r="AB108" s="105"/>
      <c r="AC108" s="157">
        <f t="shared" ref="AC108:AC176" si="18">P108+Z108+AA108-AB108</f>
        <v>3296000</v>
      </c>
      <c r="AD108" s="223" t="s">
        <v>955</v>
      </c>
      <c r="AE108" s="196">
        <f>170000+120000+120000-120000+275000+210000+152000+170000+140000+120000+120000+28000-120000+120000-120000+120000+150000+150000+150000+150000+275000+152000+200000+34000+140000</f>
        <v>2906000</v>
      </c>
      <c r="AF108" s="210">
        <f t="shared" si="16"/>
        <v>390000</v>
      </c>
      <c r="AG108" s="245" t="s">
        <v>941</v>
      </c>
      <c r="AH108" s="255" t="s">
        <v>942</v>
      </c>
      <c r="AI108" s="253">
        <f>170000+120000+210000+275000+152000+170000+140000+120000+28000+120000+150000+150000+150000+150000+275000+152000+200000+34000+140000</f>
        <v>2906000</v>
      </c>
      <c r="AJ108" s="240">
        <f t="shared" si="17"/>
        <v>390000</v>
      </c>
      <c r="AK108" s="241" t="s">
        <v>53</v>
      </c>
      <c r="AL108" s="245" t="s">
        <v>940</v>
      </c>
      <c r="AM108" s="372">
        <f>170000+120000+210000+275000+152000+170000+140000+120000+150000+150000+150000+150000+275000+152000+200000+34000+120000+28000+140000</f>
        <v>2906000</v>
      </c>
      <c r="AN108" s="11" t="s">
        <v>816</v>
      </c>
      <c r="AQ108" s="402"/>
    </row>
    <row r="109" spans="1:43" ht="69" customHeight="1" x14ac:dyDescent="0.2">
      <c r="A109" s="186" t="s">
        <v>317</v>
      </c>
      <c r="B109" s="71" t="s">
        <v>180</v>
      </c>
      <c r="C109" s="193" t="s">
        <v>322</v>
      </c>
      <c r="D109" s="68" t="s">
        <v>173</v>
      </c>
      <c r="E109" s="140" t="s">
        <v>126</v>
      </c>
      <c r="F109" s="25" t="s">
        <v>181</v>
      </c>
      <c r="G109" s="25" t="s">
        <v>182</v>
      </c>
      <c r="H109" s="23" t="s">
        <v>787</v>
      </c>
      <c r="I109" s="24">
        <v>72103300</v>
      </c>
      <c r="J109" s="24" t="s">
        <v>788</v>
      </c>
      <c r="K109" s="24" t="s">
        <v>788</v>
      </c>
      <c r="L109" s="26">
        <v>1</v>
      </c>
      <c r="M109" s="26">
        <v>1</v>
      </c>
      <c r="N109" s="24" t="s">
        <v>171</v>
      </c>
      <c r="O109" s="107" t="s">
        <v>385</v>
      </c>
      <c r="P109" s="148">
        <v>10000000</v>
      </c>
      <c r="Q109" s="39">
        <v>0</v>
      </c>
      <c r="R109" s="39">
        <v>0</v>
      </c>
      <c r="S109" s="39" t="s">
        <v>313</v>
      </c>
      <c r="T109" s="39" t="s">
        <v>314</v>
      </c>
      <c r="U109" s="23" t="s">
        <v>22</v>
      </c>
      <c r="V109" s="23">
        <v>3846666</v>
      </c>
      <c r="W109" s="27" t="s">
        <v>23</v>
      </c>
      <c r="X109" s="18" t="s">
        <v>26</v>
      </c>
      <c r="Y109" s="24" t="s">
        <v>41</v>
      </c>
      <c r="Z109" s="24"/>
      <c r="AA109" s="24"/>
      <c r="AB109" s="24"/>
      <c r="AC109" s="145">
        <f t="shared" si="18"/>
        <v>10000000</v>
      </c>
      <c r="AD109" s="195">
        <v>25923</v>
      </c>
      <c r="AE109" s="196">
        <v>9975744</v>
      </c>
      <c r="AF109" s="210">
        <f t="shared" si="16"/>
        <v>24256</v>
      </c>
      <c r="AG109" s="398" t="s">
        <v>901</v>
      </c>
      <c r="AH109" s="255" t="s">
        <v>902</v>
      </c>
      <c r="AI109" s="246">
        <f>38197+9005807</f>
        <v>9044004</v>
      </c>
      <c r="AJ109" s="240">
        <f t="shared" si="17"/>
        <v>955996</v>
      </c>
      <c r="AK109" s="245" t="s">
        <v>903</v>
      </c>
      <c r="AL109" s="245" t="s">
        <v>831</v>
      </c>
      <c r="AM109" s="380">
        <f>9005807+38197</f>
        <v>9044004</v>
      </c>
      <c r="AN109" s="12"/>
      <c r="AQ109" s="402"/>
    </row>
    <row r="110" spans="1:43" ht="51" customHeight="1" x14ac:dyDescent="0.2">
      <c r="A110" s="186" t="s">
        <v>317</v>
      </c>
      <c r="B110" s="71" t="s">
        <v>180</v>
      </c>
      <c r="C110" s="193" t="s">
        <v>322</v>
      </c>
      <c r="D110" s="68" t="s">
        <v>173</v>
      </c>
      <c r="E110" s="140" t="s">
        <v>126</v>
      </c>
      <c r="F110" s="25" t="s">
        <v>181</v>
      </c>
      <c r="G110" s="25" t="s">
        <v>388</v>
      </c>
      <c r="H110" s="23" t="s">
        <v>787</v>
      </c>
      <c r="I110" s="24">
        <v>72103300</v>
      </c>
      <c r="J110" s="24" t="s">
        <v>788</v>
      </c>
      <c r="K110" s="24" t="s">
        <v>788</v>
      </c>
      <c r="L110" s="26">
        <v>1</v>
      </c>
      <c r="M110" s="26">
        <v>1</v>
      </c>
      <c r="N110" s="24" t="s">
        <v>171</v>
      </c>
      <c r="O110" s="107" t="s">
        <v>386</v>
      </c>
      <c r="P110" s="148">
        <v>20000000</v>
      </c>
      <c r="Q110" s="39">
        <v>0</v>
      </c>
      <c r="R110" s="39">
        <v>0</v>
      </c>
      <c r="S110" s="39" t="s">
        <v>313</v>
      </c>
      <c r="T110" s="39" t="s">
        <v>314</v>
      </c>
      <c r="U110" s="23" t="s">
        <v>22</v>
      </c>
      <c r="V110" s="23">
        <v>3846666</v>
      </c>
      <c r="W110" s="27" t="s">
        <v>23</v>
      </c>
      <c r="X110" s="18" t="s">
        <v>26</v>
      </c>
      <c r="Y110" s="24" t="s">
        <v>41</v>
      </c>
      <c r="Z110" s="24"/>
      <c r="AA110" s="24"/>
      <c r="AB110" s="24"/>
      <c r="AC110" s="145">
        <f t="shared" si="18"/>
        <v>20000000</v>
      </c>
      <c r="AD110" s="195">
        <v>25923</v>
      </c>
      <c r="AE110" s="196">
        <v>20000000</v>
      </c>
      <c r="AF110" s="210">
        <f t="shared" si="16"/>
        <v>0</v>
      </c>
      <c r="AG110" s="241">
        <v>30023</v>
      </c>
      <c r="AH110" s="244">
        <v>45195</v>
      </c>
      <c r="AI110" s="246">
        <v>20000000</v>
      </c>
      <c r="AJ110" s="240">
        <f t="shared" si="17"/>
        <v>0</v>
      </c>
      <c r="AK110" s="241">
        <v>123</v>
      </c>
      <c r="AL110" s="245" t="s">
        <v>831</v>
      </c>
      <c r="AM110" s="380">
        <v>20000000</v>
      </c>
      <c r="AN110" s="12"/>
      <c r="AQ110" s="402"/>
    </row>
    <row r="111" spans="1:43" ht="75.75" customHeight="1" x14ac:dyDescent="0.2">
      <c r="A111" s="186" t="s">
        <v>317</v>
      </c>
      <c r="B111" s="71" t="s">
        <v>180</v>
      </c>
      <c r="C111" s="193" t="s">
        <v>322</v>
      </c>
      <c r="D111" s="68" t="s">
        <v>173</v>
      </c>
      <c r="E111" s="140" t="s">
        <v>126</v>
      </c>
      <c r="F111" s="25" t="s">
        <v>181</v>
      </c>
      <c r="G111" s="25" t="s">
        <v>389</v>
      </c>
      <c r="H111" s="23" t="s">
        <v>787</v>
      </c>
      <c r="I111" s="24">
        <v>72103300</v>
      </c>
      <c r="J111" s="24" t="s">
        <v>788</v>
      </c>
      <c r="K111" s="24" t="s">
        <v>788</v>
      </c>
      <c r="L111" s="26">
        <v>1</v>
      </c>
      <c r="M111" s="26">
        <v>1</v>
      </c>
      <c r="N111" s="24" t="s">
        <v>171</v>
      </c>
      <c r="O111" s="107" t="s">
        <v>312</v>
      </c>
      <c r="P111" s="148">
        <v>2138739</v>
      </c>
      <c r="Q111" s="39">
        <v>0</v>
      </c>
      <c r="R111" s="39">
        <v>0</v>
      </c>
      <c r="S111" s="39" t="s">
        <v>313</v>
      </c>
      <c r="T111" s="39" t="s">
        <v>314</v>
      </c>
      <c r="U111" s="23" t="s">
        <v>22</v>
      </c>
      <c r="V111" s="23">
        <v>3846666</v>
      </c>
      <c r="W111" s="27" t="s">
        <v>23</v>
      </c>
      <c r="X111" s="18" t="s">
        <v>26</v>
      </c>
      <c r="Y111" s="24" t="s">
        <v>41</v>
      </c>
      <c r="Z111" s="24"/>
      <c r="AA111" s="24"/>
      <c r="AB111" s="24"/>
      <c r="AC111" s="145">
        <f t="shared" si="18"/>
        <v>2138739</v>
      </c>
      <c r="AD111" s="195">
        <v>25923</v>
      </c>
      <c r="AE111" s="196">
        <v>2138739</v>
      </c>
      <c r="AF111" s="210">
        <f t="shared" si="16"/>
        <v>0</v>
      </c>
      <c r="AG111" s="241">
        <v>30023</v>
      </c>
      <c r="AH111" s="244">
        <v>45195</v>
      </c>
      <c r="AI111" s="246">
        <v>2138739</v>
      </c>
      <c r="AJ111" s="240">
        <f t="shared" si="17"/>
        <v>0</v>
      </c>
      <c r="AK111" s="241">
        <v>123</v>
      </c>
      <c r="AL111" s="245" t="s">
        <v>831</v>
      </c>
      <c r="AM111" s="380">
        <v>2138739</v>
      </c>
      <c r="AN111" s="12"/>
      <c r="AQ111" s="402"/>
    </row>
    <row r="112" spans="1:43" ht="116.25" customHeight="1" x14ac:dyDescent="0.2">
      <c r="A112" s="19" t="s">
        <v>316</v>
      </c>
      <c r="B112" s="71" t="s">
        <v>180</v>
      </c>
      <c r="C112" s="73" t="s">
        <v>321</v>
      </c>
      <c r="D112" s="23" t="s">
        <v>28</v>
      </c>
      <c r="E112" s="28" t="s">
        <v>160</v>
      </c>
      <c r="F112" s="41" t="s">
        <v>160</v>
      </c>
      <c r="G112" s="41" t="s">
        <v>410</v>
      </c>
      <c r="H112" s="41" t="s">
        <v>29</v>
      </c>
      <c r="I112" s="86">
        <v>80111600</v>
      </c>
      <c r="J112" s="86">
        <v>1</v>
      </c>
      <c r="K112" s="86">
        <v>1</v>
      </c>
      <c r="L112" s="86">
        <v>11</v>
      </c>
      <c r="M112" s="86">
        <v>1</v>
      </c>
      <c r="N112" s="86" t="s">
        <v>25</v>
      </c>
      <c r="O112" s="141" t="s">
        <v>312</v>
      </c>
      <c r="P112" s="154">
        <f>2223694*11</f>
        <v>24460634</v>
      </c>
      <c r="Q112" s="91">
        <v>0</v>
      </c>
      <c r="R112" s="91">
        <v>0</v>
      </c>
      <c r="S112" s="91" t="s">
        <v>313</v>
      </c>
      <c r="T112" s="91" t="s">
        <v>314</v>
      </c>
      <c r="U112" s="41" t="s">
        <v>22</v>
      </c>
      <c r="V112" s="41">
        <v>3846666</v>
      </c>
      <c r="W112" s="93" t="s">
        <v>23</v>
      </c>
      <c r="X112" s="108" t="s">
        <v>169</v>
      </c>
      <c r="Y112" s="86" t="s">
        <v>31</v>
      </c>
      <c r="Z112" s="86"/>
      <c r="AA112" s="86"/>
      <c r="AB112" s="156">
        <v>24398417</v>
      </c>
      <c r="AC112" s="156">
        <f t="shared" si="18"/>
        <v>62217</v>
      </c>
      <c r="AD112" s="226"/>
      <c r="AE112" s="232"/>
      <c r="AF112" s="225">
        <f t="shared" si="16"/>
        <v>62217</v>
      </c>
      <c r="AG112" s="243"/>
      <c r="AH112" s="243"/>
      <c r="AI112" s="287"/>
      <c r="AJ112" s="236">
        <f t="shared" si="17"/>
        <v>62217</v>
      </c>
      <c r="AK112" s="243"/>
      <c r="AL112" s="243"/>
      <c r="AM112" s="281"/>
      <c r="AN112" s="13" t="s">
        <v>557</v>
      </c>
      <c r="AQ112" s="402"/>
    </row>
    <row r="113" spans="1:43" ht="116.25" customHeight="1" x14ac:dyDescent="0.2">
      <c r="A113" s="19" t="s">
        <v>316</v>
      </c>
      <c r="B113" s="71" t="s">
        <v>180</v>
      </c>
      <c r="C113" s="73" t="s">
        <v>321</v>
      </c>
      <c r="D113" s="23" t="s">
        <v>28</v>
      </c>
      <c r="E113" s="28" t="s">
        <v>160</v>
      </c>
      <c r="F113" s="41" t="s">
        <v>160</v>
      </c>
      <c r="G113" s="41" t="s">
        <v>410</v>
      </c>
      <c r="H113" s="41" t="s">
        <v>166</v>
      </c>
      <c r="I113" s="41">
        <v>80111600</v>
      </c>
      <c r="J113" s="41">
        <v>1</v>
      </c>
      <c r="K113" s="41">
        <v>1</v>
      </c>
      <c r="L113" s="41">
        <v>11</v>
      </c>
      <c r="M113" s="41">
        <v>1</v>
      </c>
      <c r="N113" s="86" t="s">
        <v>25</v>
      </c>
      <c r="O113" s="90" t="s">
        <v>312</v>
      </c>
      <c r="P113" s="146">
        <f>2565200*11</f>
        <v>28217200</v>
      </c>
      <c r="Q113" s="91">
        <v>0</v>
      </c>
      <c r="R113" s="91">
        <v>0</v>
      </c>
      <c r="S113" s="91" t="s">
        <v>313</v>
      </c>
      <c r="T113" s="91" t="s">
        <v>314</v>
      </c>
      <c r="U113" s="41" t="s">
        <v>167</v>
      </c>
      <c r="V113" s="41">
        <v>3846666</v>
      </c>
      <c r="W113" s="93" t="s">
        <v>168</v>
      </c>
      <c r="X113" s="108" t="s">
        <v>169</v>
      </c>
      <c r="Y113" s="86" t="s">
        <v>31</v>
      </c>
      <c r="Z113" s="41"/>
      <c r="AA113" s="86"/>
      <c r="AB113" s="86"/>
      <c r="AC113" s="156">
        <f t="shared" si="18"/>
        <v>28217200</v>
      </c>
      <c r="AD113" s="195" t="s">
        <v>800</v>
      </c>
      <c r="AE113" s="196">
        <f>10260800+17956400+10859347-10859347</f>
        <v>28217200</v>
      </c>
      <c r="AF113" s="210">
        <f t="shared" si="16"/>
        <v>0</v>
      </c>
      <c r="AG113" s="241" t="s">
        <v>801</v>
      </c>
      <c r="AH113" s="255" t="s">
        <v>802</v>
      </c>
      <c r="AI113" s="240">
        <f>10260800+17956400+10859347-10859347</f>
        <v>28217200</v>
      </c>
      <c r="AJ113" s="240">
        <f t="shared" si="17"/>
        <v>0</v>
      </c>
      <c r="AK113" s="245" t="s">
        <v>803</v>
      </c>
      <c r="AL113" s="245" t="s">
        <v>804</v>
      </c>
      <c r="AM113" s="376">
        <f>1111587+2565200+2565200+2565200+1453613+1026080+2565200+2565200+940573+598547+2565200+2565200+2565200+2565200</f>
        <v>28217200</v>
      </c>
      <c r="AN113" s="12"/>
      <c r="AQ113" s="402"/>
    </row>
    <row r="114" spans="1:43" ht="116.25" customHeight="1" x14ac:dyDescent="0.2">
      <c r="A114" s="19" t="s">
        <v>316</v>
      </c>
      <c r="B114" s="71" t="s">
        <v>180</v>
      </c>
      <c r="C114" s="73" t="s">
        <v>321</v>
      </c>
      <c r="D114" s="23" t="s">
        <v>28</v>
      </c>
      <c r="E114" s="28" t="s">
        <v>160</v>
      </c>
      <c r="F114" s="41" t="s">
        <v>160</v>
      </c>
      <c r="G114" s="41" t="s">
        <v>410</v>
      </c>
      <c r="H114" s="41" t="s">
        <v>964</v>
      </c>
      <c r="I114" s="41">
        <v>80111600</v>
      </c>
      <c r="J114" s="41">
        <v>1</v>
      </c>
      <c r="K114" s="41">
        <v>1</v>
      </c>
      <c r="L114" s="41">
        <v>11</v>
      </c>
      <c r="M114" s="41">
        <v>1</v>
      </c>
      <c r="N114" s="86" t="s">
        <v>25</v>
      </c>
      <c r="O114" s="90" t="s">
        <v>312</v>
      </c>
      <c r="P114" s="146">
        <f>2672193*11</f>
        <v>29394123</v>
      </c>
      <c r="Q114" s="91">
        <v>0</v>
      </c>
      <c r="R114" s="91">
        <v>0</v>
      </c>
      <c r="S114" s="91" t="s">
        <v>313</v>
      </c>
      <c r="T114" s="91" t="s">
        <v>314</v>
      </c>
      <c r="U114" s="41" t="s">
        <v>167</v>
      </c>
      <c r="V114" s="41">
        <v>3846666</v>
      </c>
      <c r="W114" s="93" t="s">
        <v>168</v>
      </c>
      <c r="X114" s="108" t="s">
        <v>169</v>
      </c>
      <c r="Y114" s="86" t="s">
        <v>31</v>
      </c>
      <c r="Z114" s="41"/>
      <c r="AA114" s="407">
        <f>89073+395650+301004+300000+1497393</f>
        <v>2583120</v>
      </c>
      <c r="AB114" s="86"/>
      <c r="AC114" s="156">
        <f t="shared" si="18"/>
        <v>31977243</v>
      </c>
      <c r="AD114" s="195" t="s">
        <v>965</v>
      </c>
      <c r="AE114" s="196">
        <f>10599699+18705351+2672193</f>
        <v>31977243</v>
      </c>
      <c r="AF114" s="210">
        <f t="shared" si="16"/>
        <v>0</v>
      </c>
      <c r="AG114" s="241" t="s">
        <v>976</v>
      </c>
      <c r="AH114" s="255" t="s">
        <v>977</v>
      </c>
      <c r="AI114" s="246">
        <f>10599699+18705351+2672193</f>
        <v>31977243</v>
      </c>
      <c r="AJ114" s="240">
        <f t="shared" si="17"/>
        <v>0</v>
      </c>
      <c r="AK114" s="245" t="s">
        <v>978</v>
      </c>
      <c r="AL114" s="245" t="s">
        <v>453</v>
      </c>
      <c r="AM114" s="376">
        <f>2583120+2672193+2672193+2672193+2672193+2672193+2672193+2672193+2672193+2672193+2672193</f>
        <v>29305050</v>
      </c>
      <c r="AN114" s="13" t="s">
        <v>815</v>
      </c>
      <c r="AO114" s="8" t="s">
        <v>998</v>
      </c>
      <c r="AQ114" s="402"/>
    </row>
    <row r="115" spans="1:43" ht="116.25" customHeight="1" x14ac:dyDescent="0.2">
      <c r="A115" s="19" t="s">
        <v>316</v>
      </c>
      <c r="B115" s="71" t="s">
        <v>180</v>
      </c>
      <c r="C115" s="73" t="s">
        <v>321</v>
      </c>
      <c r="D115" s="23" t="s">
        <v>28</v>
      </c>
      <c r="E115" s="28" t="s">
        <v>160</v>
      </c>
      <c r="F115" s="41" t="s">
        <v>160</v>
      </c>
      <c r="G115" s="41" t="s">
        <v>410</v>
      </c>
      <c r="H115" s="41" t="s">
        <v>170</v>
      </c>
      <c r="I115" s="87">
        <v>80111600</v>
      </c>
      <c r="J115" s="41">
        <v>1</v>
      </c>
      <c r="K115" s="41">
        <v>1</v>
      </c>
      <c r="L115" s="41">
        <v>11</v>
      </c>
      <c r="M115" s="41">
        <v>1</v>
      </c>
      <c r="N115" s="86" t="s">
        <v>25</v>
      </c>
      <c r="O115" s="90" t="s">
        <v>312</v>
      </c>
      <c r="P115" s="146">
        <f>2672193*11</f>
        <v>29394123</v>
      </c>
      <c r="Q115" s="91">
        <v>0</v>
      </c>
      <c r="R115" s="91">
        <v>0</v>
      </c>
      <c r="S115" s="91" t="s">
        <v>313</v>
      </c>
      <c r="T115" s="91" t="s">
        <v>314</v>
      </c>
      <c r="U115" s="41" t="s">
        <v>167</v>
      </c>
      <c r="V115" s="41">
        <v>3846666</v>
      </c>
      <c r="W115" s="93" t="s">
        <v>168</v>
      </c>
      <c r="X115" s="86" t="s">
        <v>496</v>
      </c>
      <c r="Y115" s="86" t="s">
        <v>31</v>
      </c>
      <c r="Z115" s="41"/>
      <c r="AA115" s="86"/>
      <c r="AB115" s="407">
        <v>89073</v>
      </c>
      <c r="AC115" s="156">
        <f t="shared" si="18"/>
        <v>29305050</v>
      </c>
      <c r="AD115" s="195" t="s">
        <v>617</v>
      </c>
      <c r="AE115" s="196">
        <f>10688772+18616278</f>
        <v>29305050</v>
      </c>
      <c r="AF115" s="210">
        <f t="shared" si="16"/>
        <v>0</v>
      </c>
      <c r="AG115" s="241" t="s">
        <v>652</v>
      </c>
      <c r="AH115" s="255" t="s">
        <v>653</v>
      </c>
      <c r="AI115" s="246">
        <f>10688772+18616278</f>
        <v>29305050</v>
      </c>
      <c r="AJ115" s="240">
        <f t="shared" si="17"/>
        <v>0</v>
      </c>
      <c r="AK115" s="249" t="s">
        <v>654</v>
      </c>
      <c r="AL115" s="249" t="s">
        <v>447</v>
      </c>
      <c r="AM115" s="376">
        <f>2672193+2672193+2672193+2672193+2583120+2672193+2672193+2672193+2672193+2672193+2672193</f>
        <v>29305050</v>
      </c>
      <c r="AN115" s="13" t="s">
        <v>815</v>
      </c>
      <c r="AQ115" s="402"/>
    </row>
    <row r="116" spans="1:43" ht="116.25" customHeight="1" x14ac:dyDescent="0.2">
      <c r="A116" s="19" t="s">
        <v>316</v>
      </c>
      <c r="B116" s="71" t="s">
        <v>180</v>
      </c>
      <c r="C116" s="73" t="s">
        <v>321</v>
      </c>
      <c r="D116" s="23" t="s">
        <v>28</v>
      </c>
      <c r="E116" s="1" t="s">
        <v>32</v>
      </c>
      <c r="F116" s="1" t="s">
        <v>32</v>
      </c>
      <c r="G116" s="1" t="s">
        <v>411</v>
      </c>
      <c r="H116" s="1" t="s">
        <v>11</v>
      </c>
      <c r="I116" s="4">
        <v>93141808</v>
      </c>
      <c r="J116" s="4">
        <v>2</v>
      </c>
      <c r="K116" s="4">
        <v>2</v>
      </c>
      <c r="L116" s="4">
        <v>10</v>
      </c>
      <c r="M116" s="4">
        <v>1</v>
      </c>
      <c r="N116" s="4" t="s">
        <v>24</v>
      </c>
      <c r="O116" s="3" t="s">
        <v>312</v>
      </c>
      <c r="P116" s="21">
        <v>10000000</v>
      </c>
      <c r="Q116" s="36">
        <v>0</v>
      </c>
      <c r="R116" s="36">
        <v>0</v>
      </c>
      <c r="S116" s="36" t="s">
        <v>313</v>
      </c>
      <c r="T116" s="36" t="s">
        <v>314</v>
      </c>
      <c r="U116" s="1" t="s">
        <v>22</v>
      </c>
      <c r="V116" s="1">
        <v>3846666</v>
      </c>
      <c r="W116" s="6" t="s">
        <v>23</v>
      </c>
      <c r="X116" s="4" t="s">
        <v>26</v>
      </c>
      <c r="Y116" s="2" t="s">
        <v>30</v>
      </c>
      <c r="Z116" s="2"/>
      <c r="AA116" s="2"/>
      <c r="AB116" s="2"/>
      <c r="AC116" s="155">
        <f t="shared" si="18"/>
        <v>10000000</v>
      </c>
      <c r="AD116" s="195">
        <v>623</v>
      </c>
      <c r="AE116" s="196">
        <v>10000000</v>
      </c>
      <c r="AF116" s="210">
        <f t="shared" si="16"/>
        <v>0</v>
      </c>
      <c r="AG116" s="241">
        <v>723</v>
      </c>
      <c r="AH116" s="244">
        <v>44942</v>
      </c>
      <c r="AI116" s="246">
        <v>10000000</v>
      </c>
      <c r="AJ116" s="240">
        <f t="shared" si="17"/>
        <v>0</v>
      </c>
      <c r="AK116" s="250" t="s">
        <v>430</v>
      </c>
      <c r="AL116" s="245" t="s">
        <v>422</v>
      </c>
      <c r="AM116" s="371">
        <f>2260153+408400+262200+6203800</f>
        <v>9134553</v>
      </c>
      <c r="AN116" s="12"/>
      <c r="AO116" s="8" t="s">
        <v>998</v>
      </c>
      <c r="AP116" s="402"/>
    </row>
    <row r="117" spans="1:43" ht="116.25" customHeight="1" x14ac:dyDescent="0.2">
      <c r="A117" s="19" t="s">
        <v>316</v>
      </c>
      <c r="B117" s="71" t="s">
        <v>180</v>
      </c>
      <c r="C117" s="73" t="s">
        <v>321</v>
      </c>
      <c r="D117" s="23" t="s">
        <v>28</v>
      </c>
      <c r="E117" s="1" t="s">
        <v>32</v>
      </c>
      <c r="F117" s="1" t="s">
        <v>32</v>
      </c>
      <c r="G117" s="1" t="s">
        <v>411</v>
      </c>
      <c r="H117" s="1" t="s">
        <v>12</v>
      </c>
      <c r="I117" s="4" t="s">
        <v>13</v>
      </c>
      <c r="J117" s="4">
        <v>4</v>
      </c>
      <c r="K117" s="4">
        <v>5</v>
      </c>
      <c r="L117" s="4">
        <v>7</v>
      </c>
      <c r="M117" s="4">
        <v>1</v>
      </c>
      <c r="N117" s="4" t="s">
        <v>24</v>
      </c>
      <c r="O117" s="3" t="s">
        <v>385</v>
      </c>
      <c r="P117" s="149">
        <v>14181372</v>
      </c>
      <c r="Q117" s="36">
        <v>0</v>
      </c>
      <c r="R117" s="36">
        <v>0</v>
      </c>
      <c r="S117" s="36" t="s">
        <v>313</v>
      </c>
      <c r="T117" s="36" t="s">
        <v>314</v>
      </c>
      <c r="U117" s="1" t="s">
        <v>22</v>
      </c>
      <c r="V117" s="1">
        <v>3846666</v>
      </c>
      <c r="W117" s="6" t="s">
        <v>23</v>
      </c>
      <c r="X117" s="4" t="s">
        <v>26</v>
      </c>
      <c r="Y117" s="2" t="s">
        <v>30</v>
      </c>
      <c r="Z117" s="2"/>
      <c r="AA117" s="2"/>
      <c r="AB117" s="2"/>
      <c r="AC117" s="155">
        <f t="shared" si="18"/>
        <v>14181372</v>
      </c>
      <c r="AD117" s="195">
        <v>21923</v>
      </c>
      <c r="AE117" s="203">
        <v>14181372</v>
      </c>
      <c r="AF117" s="210">
        <f t="shared" si="16"/>
        <v>0</v>
      </c>
      <c r="AG117" s="241">
        <v>26823</v>
      </c>
      <c r="AH117" s="244">
        <v>45154</v>
      </c>
      <c r="AI117" s="246">
        <v>14181372</v>
      </c>
      <c r="AJ117" s="240">
        <f t="shared" si="17"/>
        <v>0</v>
      </c>
      <c r="AK117" s="241" t="s">
        <v>791</v>
      </c>
      <c r="AL117" s="245" t="s">
        <v>790</v>
      </c>
      <c r="AM117" s="371">
        <f>2742960+7484900+1358512+2595000</f>
        <v>14181372</v>
      </c>
      <c r="AN117" s="12"/>
      <c r="AQ117" s="402"/>
    </row>
    <row r="118" spans="1:43" ht="116.25" customHeight="1" x14ac:dyDescent="0.2">
      <c r="A118" s="19" t="s">
        <v>316</v>
      </c>
      <c r="B118" s="71" t="s">
        <v>180</v>
      </c>
      <c r="C118" s="73" t="s">
        <v>321</v>
      </c>
      <c r="D118" s="23" t="s">
        <v>28</v>
      </c>
      <c r="E118" s="1" t="s">
        <v>32</v>
      </c>
      <c r="F118" s="1" t="s">
        <v>32</v>
      </c>
      <c r="G118" s="1" t="s">
        <v>411</v>
      </c>
      <c r="H118" s="1" t="s">
        <v>12</v>
      </c>
      <c r="I118" s="4" t="s">
        <v>13</v>
      </c>
      <c r="J118" s="4">
        <v>4</v>
      </c>
      <c r="K118" s="4">
        <v>5</v>
      </c>
      <c r="L118" s="4">
        <v>7</v>
      </c>
      <c r="M118" s="4">
        <v>1</v>
      </c>
      <c r="N118" s="4" t="s">
        <v>24</v>
      </c>
      <c r="O118" s="3" t="s">
        <v>312</v>
      </c>
      <c r="P118" s="149">
        <v>5818628</v>
      </c>
      <c r="Q118" s="36">
        <v>0</v>
      </c>
      <c r="R118" s="36">
        <v>0</v>
      </c>
      <c r="S118" s="36" t="s">
        <v>313</v>
      </c>
      <c r="T118" s="36" t="s">
        <v>314</v>
      </c>
      <c r="U118" s="1" t="s">
        <v>22</v>
      </c>
      <c r="V118" s="1">
        <v>3846666</v>
      </c>
      <c r="W118" s="6" t="s">
        <v>23</v>
      </c>
      <c r="X118" s="4" t="s">
        <v>26</v>
      </c>
      <c r="Y118" s="2" t="s">
        <v>30</v>
      </c>
      <c r="Z118" s="2"/>
      <c r="AA118" s="2"/>
      <c r="AB118" s="2"/>
      <c r="AC118" s="155">
        <f t="shared" si="18"/>
        <v>5818628</v>
      </c>
      <c r="AD118" s="195">
        <v>21923</v>
      </c>
      <c r="AE118" s="203">
        <v>5818628</v>
      </c>
      <c r="AF118" s="210">
        <f t="shared" si="16"/>
        <v>0</v>
      </c>
      <c r="AG118" s="241">
        <v>26823</v>
      </c>
      <c r="AH118" s="244">
        <v>45154</v>
      </c>
      <c r="AI118" s="246">
        <v>5818628</v>
      </c>
      <c r="AJ118" s="240">
        <f t="shared" si="17"/>
        <v>0</v>
      </c>
      <c r="AK118" s="241" t="s">
        <v>791</v>
      </c>
      <c r="AL118" s="245" t="s">
        <v>790</v>
      </c>
      <c r="AM118" s="371">
        <v>5818628</v>
      </c>
      <c r="AN118" s="12"/>
      <c r="AQ118" s="402"/>
    </row>
    <row r="119" spans="1:43" ht="116.25" customHeight="1" x14ac:dyDescent="0.2">
      <c r="A119" s="19" t="s">
        <v>316</v>
      </c>
      <c r="B119" s="71" t="s">
        <v>180</v>
      </c>
      <c r="C119" s="73" t="s">
        <v>321</v>
      </c>
      <c r="D119" s="23" t="s">
        <v>28</v>
      </c>
      <c r="E119" s="109" t="s">
        <v>183</v>
      </c>
      <c r="F119" s="109" t="s">
        <v>184</v>
      </c>
      <c r="G119" s="23" t="s">
        <v>412</v>
      </c>
      <c r="H119" s="18" t="s">
        <v>409</v>
      </c>
      <c r="I119" s="24">
        <v>80111600</v>
      </c>
      <c r="J119" s="26">
        <v>1</v>
      </c>
      <c r="K119" s="26">
        <v>1</v>
      </c>
      <c r="L119" s="81" t="s">
        <v>403</v>
      </c>
      <c r="M119" s="26">
        <v>0</v>
      </c>
      <c r="N119" s="18" t="s">
        <v>25</v>
      </c>
      <c r="O119" s="26" t="s">
        <v>312</v>
      </c>
      <c r="P119" s="144">
        <f>3956500*11.5</f>
        <v>45499750</v>
      </c>
      <c r="Q119" s="39">
        <v>0</v>
      </c>
      <c r="R119" s="39">
        <v>0</v>
      </c>
      <c r="S119" s="39" t="s">
        <v>313</v>
      </c>
      <c r="T119" s="39" t="s">
        <v>314</v>
      </c>
      <c r="U119" s="24" t="s">
        <v>318</v>
      </c>
      <c r="V119" s="24">
        <v>3846666</v>
      </c>
      <c r="W119" s="27" t="s">
        <v>140</v>
      </c>
      <c r="X119" s="24" t="s">
        <v>496</v>
      </c>
      <c r="Y119" s="24" t="s">
        <v>318</v>
      </c>
      <c r="Z119" s="24"/>
      <c r="AA119" s="24"/>
      <c r="AB119" s="408">
        <v>395650</v>
      </c>
      <c r="AC119" s="145">
        <f t="shared" si="18"/>
        <v>45104100</v>
      </c>
      <c r="AD119" s="195" t="s">
        <v>616</v>
      </c>
      <c r="AE119" s="196">
        <f>15826000+29278100</f>
        <v>45104100</v>
      </c>
      <c r="AF119" s="210">
        <f t="shared" si="16"/>
        <v>0</v>
      </c>
      <c r="AG119" s="241" t="s">
        <v>618</v>
      </c>
      <c r="AH119" s="255" t="s">
        <v>619</v>
      </c>
      <c r="AI119" s="253">
        <f>15826000+29278100</f>
        <v>45104100</v>
      </c>
      <c r="AJ119" s="240">
        <f t="shared" si="17"/>
        <v>0</v>
      </c>
      <c r="AK119" s="248" t="s">
        <v>428</v>
      </c>
      <c r="AL119" s="245" t="s">
        <v>429</v>
      </c>
      <c r="AM119" s="373">
        <f>1714483+3956500+3956500+3956500+2242017+1582600+3956500+3956500+3956500+3956500+3956500+3956500+3956500</f>
        <v>45104100</v>
      </c>
      <c r="AN119" s="13" t="s">
        <v>815</v>
      </c>
      <c r="AQ119" s="402"/>
    </row>
    <row r="120" spans="1:43" ht="116.25" customHeight="1" x14ac:dyDescent="0.2">
      <c r="A120" s="19" t="s">
        <v>316</v>
      </c>
      <c r="B120" s="71" t="s">
        <v>180</v>
      </c>
      <c r="C120" s="73" t="s">
        <v>321</v>
      </c>
      <c r="D120" s="23" t="s">
        <v>28</v>
      </c>
      <c r="E120" s="109" t="s">
        <v>424</v>
      </c>
      <c r="F120" s="109" t="s">
        <v>184</v>
      </c>
      <c r="G120" s="23" t="s">
        <v>412</v>
      </c>
      <c r="H120" s="18" t="s">
        <v>674</v>
      </c>
      <c r="I120" s="24">
        <v>80111600</v>
      </c>
      <c r="J120" s="26">
        <v>6</v>
      </c>
      <c r="K120" s="26">
        <v>6</v>
      </c>
      <c r="L120" s="81" t="s">
        <v>675</v>
      </c>
      <c r="M120" s="26">
        <v>0</v>
      </c>
      <c r="N120" s="18" t="s">
        <v>25</v>
      </c>
      <c r="O120" s="26" t="s">
        <v>312</v>
      </c>
      <c r="P120" s="144">
        <v>0</v>
      </c>
      <c r="Q120" s="39">
        <v>0</v>
      </c>
      <c r="R120" s="39">
        <v>0</v>
      </c>
      <c r="S120" s="39" t="s">
        <v>313</v>
      </c>
      <c r="T120" s="39" t="s">
        <v>314</v>
      </c>
      <c r="U120" s="24" t="s">
        <v>22</v>
      </c>
      <c r="V120" s="24">
        <v>3846666</v>
      </c>
      <c r="W120" s="27" t="s">
        <v>140</v>
      </c>
      <c r="X120" s="24" t="s">
        <v>496</v>
      </c>
      <c r="Y120" s="24" t="s">
        <v>318</v>
      </c>
      <c r="Z120" s="334">
        <v>24398417</v>
      </c>
      <c r="AA120" s="24"/>
      <c r="AB120" s="24"/>
      <c r="AC120" s="145">
        <f>P120+Z120+AA120-AB120</f>
        <v>24398417</v>
      </c>
      <c r="AD120" s="195">
        <v>20623</v>
      </c>
      <c r="AE120" s="196">
        <v>24398417</v>
      </c>
      <c r="AF120" s="210">
        <f>+AC120-AE120</f>
        <v>0</v>
      </c>
      <c r="AG120" s="241">
        <v>22023</v>
      </c>
      <c r="AH120" s="255">
        <v>45099</v>
      </c>
      <c r="AI120" s="253">
        <v>24398417</v>
      </c>
      <c r="AJ120" s="240">
        <f>+AC120-AI120</f>
        <v>0</v>
      </c>
      <c r="AK120" s="245">
        <v>104</v>
      </c>
      <c r="AL120" s="245" t="s">
        <v>677</v>
      </c>
      <c r="AM120" s="373">
        <f>1186950+3956500+3956500+3956500+3956500+3956500+3428967</f>
        <v>24398417</v>
      </c>
      <c r="AN120" s="13" t="s">
        <v>557</v>
      </c>
      <c r="AQ120" s="402"/>
    </row>
    <row r="121" spans="1:43" ht="116.25" customHeight="1" x14ac:dyDescent="0.2">
      <c r="A121" s="19" t="s">
        <v>316</v>
      </c>
      <c r="B121" s="71" t="s">
        <v>180</v>
      </c>
      <c r="C121" s="73" t="s">
        <v>321</v>
      </c>
      <c r="D121" s="23" t="s">
        <v>28</v>
      </c>
      <c r="E121" s="109" t="s">
        <v>424</v>
      </c>
      <c r="F121" s="109" t="s">
        <v>184</v>
      </c>
      <c r="G121" s="23" t="s">
        <v>412</v>
      </c>
      <c r="H121" s="18" t="s">
        <v>963</v>
      </c>
      <c r="I121" s="24">
        <v>80111600</v>
      </c>
      <c r="J121" s="26">
        <v>12</v>
      </c>
      <c r="K121" s="26">
        <v>12</v>
      </c>
      <c r="L121" s="81" t="s">
        <v>962</v>
      </c>
      <c r="M121" s="26">
        <v>0</v>
      </c>
      <c r="N121" s="18" t="s">
        <v>25</v>
      </c>
      <c r="O121" s="26" t="s">
        <v>385</v>
      </c>
      <c r="P121" s="144"/>
      <c r="Q121" s="39"/>
      <c r="R121" s="39"/>
      <c r="S121" s="39"/>
      <c r="T121" s="39"/>
      <c r="U121" s="24"/>
      <c r="V121" s="24"/>
      <c r="W121" s="27"/>
      <c r="X121" s="24" t="s">
        <v>496</v>
      </c>
      <c r="Y121" s="24" t="s">
        <v>318</v>
      </c>
      <c r="Z121" s="283">
        <v>3956500</v>
      </c>
      <c r="AA121" s="24"/>
      <c r="AB121" s="24"/>
      <c r="AC121" s="145">
        <f>P121+Z121+AA121-AB121</f>
        <v>3956500</v>
      </c>
      <c r="AD121" s="195">
        <v>36223</v>
      </c>
      <c r="AE121" s="196">
        <v>3956500</v>
      </c>
      <c r="AF121" s="210">
        <f>+AC121-AE121</f>
        <v>0</v>
      </c>
      <c r="AG121" s="241">
        <v>40623</v>
      </c>
      <c r="AH121" s="255">
        <v>45286</v>
      </c>
      <c r="AI121" s="253">
        <v>3956500</v>
      </c>
      <c r="AJ121" s="240">
        <f>+AC121-AI121</f>
        <v>0</v>
      </c>
      <c r="AK121" s="245" t="s">
        <v>967</v>
      </c>
      <c r="AL121" s="245" t="s">
        <v>445</v>
      </c>
      <c r="AM121" s="373"/>
      <c r="AN121" s="13" t="s">
        <v>815</v>
      </c>
      <c r="AO121" s="8" t="s">
        <v>998</v>
      </c>
    </row>
    <row r="122" spans="1:43" ht="176.25" customHeight="1" x14ac:dyDescent="0.2">
      <c r="A122" s="19" t="s">
        <v>316</v>
      </c>
      <c r="B122" s="71" t="s">
        <v>180</v>
      </c>
      <c r="C122" s="73" t="s">
        <v>321</v>
      </c>
      <c r="D122" s="23" t="s">
        <v>28</v>
      </c>
      <c r="E122" s="110" t="s">
        <v>175</v>
      </c>
      <c r="F122" s="110" t="s">
        <v>175</v>
      </c>
      <c r="G122" s="33" t="s">
        <v>413</v>
      </c>
      <c r="H122" s="72" t="s">
        <v>943</v>
      </c>
      <c r="I122" s="33" t="s">
        <v>189</v>
      </c>
      <c r="J122" s="33">
        <v>12</v>
      </c>
      <c r="K122" s="33">
        <v>12</v>
      </c>
      <c r="L122" s="33">
        <v>12</v>
      </c>
      <c r="M122" s="33">
        <v>0</v>
      </c>
      <c r="N122" s="33" t="s">
        <v>25</v>
      </c>
      <c r="O122" s="33" t="s">
        <v>385</v>
      </c>
      <c r="P122" s="150">
        <v>15000000</v>
      </c>
      <c r="Q122" s="111">
        <v>0</v>
      </c>
      <c r="R122" s="111">
        <v>0</v>
      </c>
      <c r="S122" s="111" t="s">
        <v>313</v>
      </c>
      <c r="T122" s="111" t="s">
        <v>314</v>
      </c>
      <c r="U122" s="72" t="s">
        <v>141</v>
      </c>
      <c r="V122" s="72">
        <v>3846666</v>
      </c>
      <c r="W122" s="33" t="s">
        <v>142</v>
      </c>
      <c r="X122" s="33" t="s">
        <v>190</v>
      </c>
      <c r="Y122" s="112" t="s">
        <v>174</v>
      </c>
      <c r="Z122" s="112"/>
      <c r="AA122" s="152"/>
      <c r="AB122" s="112"/>
      <c r="AC122" s="152">
        <f t="shared" si="18"/>
        <v>15000000</v>
      </c>
      <c r="AD122" s="195" t="s">
        <v>953</v>
      </c>
      <c r="AE122" s="196">
        <f>11960000-11960000+14995352</f>
        <v>14995352</v>
      </c>
      <c r="AF122" s="210">
        <f t="shared" si="16"/>
        <v>4648</v>
      </c>
      <c r="AG122" s="243">
        <v>40223</v>
      </c>
      <c r="AH122" s="400">
        <v>45282</v>
      </c>
      <c r="AI122" s="287">
        <v>14995332</v>
      </c>
      <c r="AJ122" s="236">
        <f t="shared" si="17"/>
        <v>4668</v>
      </c>
      <c r="AK122" s="243" t="s">
        <v>960</v>
      </c>
      <c r="AL122" s="243" t="s">
        <v>961</v>
      </c>
      <c r="AM122" s="281"/>
      <c r="AN122" s="395" t="s">
        <v>815</v>
      </c>
      <c r="AO122" s="8" t="s">
        <v>999</v>
      </c>
    </row>
    <row r="123" spans="1:43" ht="163.5" customHeight="1" x14ac:dyDescent="0.2">
      <c r="A123" s="19" t="s">
        <v>316</v>
      </c>
      <c r="B123" s="71" t="s">
        <v>180</v>
      </c>
      <c r="C123" s="73" t="s">
        <v>321</v>
      </c>
      <c r="D123" s="23" t="s">
        <v>28</v>
      </c>
      <c r="E123" s="110" t="s">
        <v>175</v>
      </c>
      <c r="F123" s="110" t="s">
        <v>175</v>
      </c>
      <c r="G123" s="33" t="s">
        <v>413</v>
      </c>
      <c r="H123" s="72" t="s">
        <v>943</v>
      </c>
      <c r="I123" s="33" t="s">
        <v>189</v>
      </c>
      <c r="J123" s="33">
        <v>12</v>
      </c>
      <c r="K123" s="33">
        <v>12</v>
      </c>
      <c r="L123" s="33">
        <v>12</v>
      </c>
      <c r="M123" s="33">
        <v>0</v>
      </c>
      <c r="N123" s="33" t="s">
        <v>25</v>
      </c>
      <c r="O123" s="33" t="s">
        <v>312</v>
      </c>
      <c r="P123" s="150">
        <v>0</v>
      </c>
      <c r="Q123" s="111">
        <v>0</v>
      </c>
      <c r="R123" s="111">
        <v>0</v>
      </c>
      <c r="S123" s="111" t="s">
        <v>313</v>
      </c>
      <c r="T123" s="111" t="s">
        <v>314</v>
      </c>
      <c r="U123" s="72" t="s">
        <v>141</v>
      </c>
      <c r="V123" s="72">
        <v>3846666</v>
      </c>
      <c r="W123" s="33" t="s">
        <v>142</v>
      </c>
      <c r="X123" s="33" t="s">
        <v>190</v>
      </c>
      <c r="Y123" s="112" t="s">
        <v>174</v>
      </c>
      <c r="Z123" s="152">
        <f>3000000+10000000</f>
        <v>13000000</v>
      </c>
      <c r="AA123" s="112"/>
      <c r="AB123" s="112"/>
      <c r="AC123" s="152">
        <f>P123+Z123+AA123-AB123</f>
        <v>13000000</v>
      </c>
      <c r="AD123" s="195" t="s">
        <v>953</v>
      </c>
      <c r="AE123" s="196">
        <f>11960000-11960000+13000000</f>
        <v>13000000</v>
      </c>
      <c r="AF123" s="210">
        <f>+AC123-AE123</f>
        <v>0</v>
      </c>
      <c r="AG123" s="243">
        <v>40223</v>
      </c>
      <c r="AH123" s="400">
        <v>45282</v>
      </c>
      <c r="AI123" s="287">
        <v>13000000</v>
      </c>
      <c r="AJ123" s="236">
        <f>+AC123-AI123</f>
        <v>0</v>
      </c>
      <c r="AK123" s="243" t="s">
        <v>960</v>
      </c>
      <c r="AL123" s="243" t="s">
        <v>961</v>
      </c>
      <c r="AM123" s="281"/>
      <c r="AN123" s="395" t="s">
        <v>815</v>
      </c>
      <c r="AO123" s="8" t="s">
        <v>999</v>
      </c>
    </row>
    <row r="124" spans="1:43" ht="116.25" customHeight="1" x14ac:dyDescent="0.2">
      <c r="A124" s="19" t="s">
        <v>316</v>
      </c>
      <c r="B124" s="71" t="s">
        <v>180</v>
      </c>
      <c r="C124" s="73" t="s">
        <v>321</v>
      </c>
      <c r="D124" s="23" t="s">
        <v>28</v>
      </c>
      <c r="E124" s="110" t="s">
        <v>159</v>
      </c>
      <c r="F124" s="110" t="s">
        <v>159</v>
      </c>
      <c r="G124" s="33" t="s">
        <v>413</v>
      </c>
      <c r="H124" s="72" t="s">
        <v>487</v>
      </c>
      <c r="I124" s="33">
        <v>81112200</v>
      </c>
      <c r="J124" s="33" t="s">
        <v>457</v>
      </c>
      <c r="K124" s="33" t="s">
        <v>457</v>
      </c>
      <c r="L124" s="33" t="s">
        <v>471</v>
      </c>
      <c r="M124" s="33">
        <v>1</v>
      </c>
      <c r="N124" s="33" t="s">
        <v>25</v>
      </c>
      <c r="O124" s="33" t="s">
        <v>312</v>
      </c>
      <c r="P124" s="151">
        <f>(2400000*11)*1.06</f>
        <v>27984000</v>
      </c>
      <c r="Q124" s="111">
        <v>0</v>
      </c>
      <c r="R124" s="111">
        <v>0</v>
      </c>
      <c r="S124" s="111" t="s">
        <v>313</v>
      </c>
      <c r="T124" s="111" t="s">
        <v>314</v>
      </c>
      <c r="U124" s="72" t="s">
        <v>141</v>
      </c>
      <c r="V124" s="72">
        <v>3846666</v>
      </c>
      <c r="W124" s="33" t="s">
        <v>142</v>
      </c>
      <c r="X124" s="112" t="s">
        <v>496</v>
      </c>
      <c r="Y124" s="112" t="s">
        <v>174</v>
      </c>
      <c r="Z124" s="112"/>
      <c r="AA124" s="152"/>
      <c r="AB124" s="407">
        <f>5088000+1055796+301004</f>
        <v>6444800</v>
      </c>
      <c r="AC124" s="152">
        <f t="shared" si="18"/>
        <v>21539200</v>
      </c>
      <c r="AD124" s="195" t="s">
        <v>736</v>
      </c>
      <c r="AE124" s="196">
        <f>10176000-2968000+14416000-84800</f>
        <v>21539200</v>
      </c>
      <c r="AF124" s="210">
        <f t="shared" si="16"/>
        <v>0</v>
      </c>
      <c r="AG124" s="241" t="s">
        <v>742</v>
      </c>
      <c r="AH124" s="255" t="s">
        <v>743</v>
      </c>
      <c r="AI124" s="288">
        <f>7208000+14331200</f>
        <v>21539200</v>
      </c>
      <c r="AJ124" s="240">
        <f t="shared" si="17"/>
        <v>0</v>
      </c>
      <c r="AK124" s="241" t="s">
        <v>744</v>
      </c>
      <c r="AL124" s="245" t="s">
        <v>522</v>
      </c>
      <c r="AM124" s="376">
        <f>2120000+2544000+2544000+1611200+2544000+2544000+2544000+2544000+2544000</f>
        <v>21539200</v>
      </c>
      <c r="AN124" s="11" t="s">
        <v>835</v>
      </c>
      <c r="AQ124" s="402"/>
    </row>
    <row r="125" spans="1:43" ht="116.25" customHeight="1" x14ac:dyDescent="0.2">
      <c r="A125" s="19" t="s">
        <v>316</v>
      </c>
      <c r="B125" s="71" t="s">
        <v>180</v>
      </c>
      <c r="C125" s="73" t="s">
        <v>321</v>
      </c>
      <c r="D125" s="23" t="s">
        <v>28</v>
      </c>
      <c r="E125" s="110" t="s">
        <v>159</v>
      </c>
      <c r="F125" s="110" t="s">
        <v>159</v>
      </c>
      <c r="G125" s="33" t="s">
        <v>413</v>
      </c>
      <c r="H125" s="72" t="s">
        <v>753</v>
      </c>
      <c r="I125" s="33">
        <v>81112200</v>
      </c>
      <c r="J125" s="33" t="s">
        <v>457</v>
      </c>
      <c r="K125" s="33" t="s">
        <v>457</v>
      </c>
      <c r="L125" s="33" t="s">
        <v>471</v>
      </c>
      <c r="M125" s="33">
        <v>1</v>
      </c>
      <c r="N125" s="33" t="s">
        <v>25</v>
      </c>
      <c r="O125" s="33" t="s">
        <v>312</v>
      </c>
      <c r="P125" s="151">
        <f>(2400000*11)*1.06</f>
        <v>27984000</v>
      </c>
      <c r="Q125" s="111">
        <v>0</v>
      </c>
      <c r="R125" s="111">
        <v>0</v>
      </c>
      <c r="S125" s="111" t="s">
        <v>313</v>
      </c>
      <c r="T125" s="111" t="s">
        <v>314</v>
      </c>
      <c r="U125" s="72" t="s">
        <v>141</v>
      </c>
      <c r="V125" s="72">
        <v>3846666</v>
      </c>
      <c r="W125" s="33" t="s">
        <v>142</v>
      </c>
      <c r="X125" s="112" t="s">
        <v>496</v>
      </c>
      <c r="Y125" s="112" t="s">
        <v>174</v>
      </c>
      <c r="Z125" s="112"/>
      <c r="AA125" s="152"/>
      <c r="AB125" s="152">
        <f>3127000+6285800</f>
        <v>9412800</v>
      </c>
      <c r="AC125" s="152">
        <f t="shared" si="18"/>
        <v>18571200</v>
      </c>
      <c r="AD125" s="195" t="s">
        <v>737</v>
      </c>
      <c r="AE125" s="196">
        <f>10176000-4324800+13568000-848000</f>
        <v>18571200</v>
      </c>
      <c r="AF125" s="210">
        <f t="shared" si="16"/>
        <v>0</v>
      </c>
      <c r="AG125" s="241" t="s">
        <v>762</v>
      </c>
      <c r="AH125" s="255" t="s">
        <v>763</v>
      </c>
      <c r="AI125" s="246">
        <f>5851200+12720000</f>
        <v>18571200</v>
      </c>
      <c r="AJ125" s="240">
        <f t="shared" si="17"/>
        <v>0</v>
      </c>
      <c r="AK125" s="241" t="s">
        <v>764</v>
      </c>
      <c r="AL125" s="241" t="s">
        <v>525</v>
      </c>
      <c r="AM125" s="375">
        <f>763200+2544000+2544000+2544000+2544000+2544000+2544000+2544000</f>
        <v>18571200</v>
      </c>
      <c r="AN125" s="11" t="s">
        <v>835</v>
      </c>
      <c r="AQ125" s="402"/>
    </row>
    <row r="126" spans="1:43" ht="116.25" customHeight="1" x14ac:dyDescent="0.2">
      <c r="A126" s="19" t="s">
        <v>316</v>
      </c>
      <c r="B126" s="71" t="s">
        <v>180</v>
      </c>
      <c r="C126" s="73" t="s">
        <v>321</v>
      </c>
      <c r="D126" s="23" t="s">
        <v>28</v>
      </c>
      <c r="E126" s="110" t="s">
        <v>159</v>
      </c>
      <c r="F126" s="110" t="s">
        <v>159</v>
      </c>
      <c r="G126" s="33" t="s">
        <v>413</v>
      </c>
      <c r="H126" s="72" t="s">
        <v>143</v>
      </c>
      <c r="I126" s="33">
        <v>81112200</v>
      </c>
      <c r="J126" s="33">
        <v>1</v>
      </c>
      <c r="K126" s="33">
        <v>1</v>
      </c>
      <c r="L126" s="33">
        <v>11</v>
      </c>
      <c r="M126" s="33">
        <v>1</v>
      </c>
      <c r="N126" s="33" t="s">
        <v>24</v>
      </c>
      <c r="O126" s="33" t="s">
        <v>312</v>
      </c>
      <c r="P126" s="151">
        <v>1500000</v>
      </c>
      <c r="Q126" s="111">
        <v>0</v>
      </c>
      <c r="R126" s="111">
        <v>0</v>
      </c>
      <c r="S126" s="111" t="s">
        <v>313</v>
      </c>
      <c r="T126" s="111" t="s">
        <v>314</v>
      </c>
      <c r="U126" s="72" t="s">
        <v>141</v>
      </c>
      <c r="V126" s="72">
        <v>3846666</v>
      </c>
      <c r="W126" s="33" t="s">
        <v>142</v>
      </c>
      <c r="X126" s="112" t="s">
        <v>26</v>
      </c>
      <c r="Y126" s="112" t="s">
        <v>433</v>
      </c>
      <c r="Z126" s="112"/>
      <c r="AA126" s="152"/>
      <c r="AB126" s="407">
        <v>300000</v>
      </c>
      <c r="AC126" s="152">
        <f t="shared" si="18"/>
        <v>1200000</v>
      </c>
      <c r="AD126" s="217">
        <v>6823</v>
      </c>
      <c r="AE126" s="218">
        <f>1241666-41666</f>
        <v>1200000</v>
      </c>
      <c r="AF126" s="218">
        <f t="shared" si="16"/>
        <v>0</v>
      </c>
      <c r="AG126" s="241">
        <v>7323</v>
      </c>
      <c r="AH126" s="244">
        <v>45000</v>
      </c>
      <c r="AI126" s="246">
        <v>1200000</v>
      </c>
      <c r="AJ126" s="240">
        <f t="shared" si="17"/>
        <v>0</v>
      </c>
      <c r="AK126" s="241" t="s">
        <v>523</v>
      </c>
      <c r="AL126" s="241" t="s">
        <v>524</v>
      </c>
      <c r="AM126" s="375">
        <v>1200000</v>
      </c>
      <c r="AN126" s="13" t="s">
        <v>815</v>
      </c>
      <c r="AQ126" s="402"/>
    </row>
    <row r="127" spans="1:43" ht="116.25" customHeight="1" x14ac:dyDescent="0.2">
      <c r="A127" s="19" t="s">
        <v>316</v>
      </c>
      <c r="B127" s="71" t="s">
        <v>180</v>
      </c>
      <c r="C127" s="73" t="s">
        <v>321</v>
      </c>
      <c r="D127" s="23" t="s">
        <v>28</v>
      </c>
      <c r="E127" s="110" t="s">
        <v>159</v>
      </c>
      <c r="F127" s="110" t="s">
        <v>159</v>
      </c>
      <c r="G127" s="33" t="s">
        <v>413</v>
      </c>
      <c r="H127" s="72" t="s">
        <v>144</v>
      </c>
      <c r="I127" s="33">
        <v>43231513</v>
      </c>
      <c r="J127" s="33">
        <v>4</v>
      </c>
      <c r="K127" s="33">
        <v>4</v>
      </c>
      <c r="L127" s="33">
        <v>1</v>
      </c>
      <c r="M127" s="33">
        <v>1</v>
      </c>
      <c r="N127" s="33" t="s">
        <v>145</v>
      </c>
      <c r="O127" s="33" t="s">
        <v>312</v>
      </c>
      <c r="P127" s="151">
        <v>54000000</v>
      </c>
      <c r="Q127" s="111">
        <v>0</v>
      </c>
      <c r="R127" s="111">
        <v>0</v>
      </c>
      <c r="S127" s="111" t="s">
        <v>313</v>
      </c>
      <c r="T127" s="111" t="s">
        <v>314</v>
      </c>
      <c r="U127" s="72" t="s">
        <v>141</v>
      </c>
      <c r="V127" s="72">
        <v>3846666</v>
      </c>
      <c r="W127" s="33" t="s">
        <v>142</v>
      </c>
      <c r="X127" s="112" t="s">
        <v>146</v>
      </c>
      <c r="Y127" s="112" t="s">
        <v>174</v>
      </c>
      <c r="Z127" s="112"/>
      <c r="AA127" s="152"/>
      <c r="AB127" s="407">
        <f>7799789+10000000+1497393</f>
        <v>19297182</v>
      </c>
      <c r="AC127" s="152">
        <f t="shared" si="18"/>
        <v>34702818</v>
      </c>
      <c r="AD127" s="397" t="s">
        <v>883</v>
      </c>
      <c r="AE127" s="196">
        <f>16753302.3-670902.3+18548640</f>
        <v>34631040</v>
      </c>
      <c r="AF127" s="210">
        <f t="shared" si="16"/>
        <v>71778</v>
      </c>
      <c r="AG127" s="398" t="s">
        <v>892</v>
      </c>
      <c r="AH127" s="255" t="s">
        <v>893</v>
      </c>
      <c r="AI127" s="246">
        <f>16082400+18548640</f>
        <v>34631040</v>
      </c>
      <c r="AJ127" s="240">
        <f t="shared" si="17"/>
        <v>71778</v>
      </c>
      <c r="AK127" s="245" t="s">
        <v>895</v>
      </c>
      <c r="AL127" s="245" t="s">
        <v>894</v>
      </c>
      <c r="AM127" s="380">
        <f>16082400+18548640</f>
        <v>34631040</v>
      </c>
      <c r="AN127" s="11" t="s">
        <v>835</v>
      </c>
      <c r="AQ127" s="402"/>
    </row>
    <row r="128" spans="1:43" ht="116.25" customHeight="1" x14ac:dyDescent="0.2">
      <c r="A128" s="19" t="s">
        <v>316</v>
      </c>
      <c r="B128" s="71" t="s">
        <v>180</v>
      </c>
      <c r="C128" s="73" t="s">
        <v>321</v>
      </c>
      <c r="D128" s="23" t="s">
        <v>28</v>
      </c>
      <c r="E128" s="110" t="s">
        <v>159</v>
      </c>
      <c r="F128" s="110" t="s">
        <v>159</v>
      </c>
      <c r="G128" s="33" t="s">
        <v>413</v>
      </c>
      <c r="H128" s="72" t="s">
        <v>147</v>
      </c>
      <c r="I128" s="33">
        <v>81112501</v>
      </c>
      <c r="J128" s="33">
        <v>6</v>
      </c>
      <c r="K128" s="33">
        <v>6</v>
      </c>
      <c r="L128" s="33">
        <v>1</v>
      </c>
      <c r="M128" s="33">
        <v>1</v>
      </c>
      <c r="N128" s="33" t="s">
        <v>24</v>
      </c>
      <c r="O128" s="33" t="s">
        <v>312</v>
      </c>
      <c r="P128" s="151">
        <v>25000000</v>
      </c>
      <c r="Q128" s="111">
        <v>0</v>
      </c>
      <c r="R128" s="111">
        <v>0</v>
      </c>
      <c r="S128" s="111" t="s">
        <v>313</v>
      </c>
      <c r="T128" s="111" t="s">
        <v>314</v>
      </c>
      <c r="U128" s="72" t="s">
        <v>141</v>
      </c>
      <c r="V128" s="72">
        <v>3846666</v>
      </c>
      <c r="W128" s="33" t="s">
        <v>142</v>
      </c>
      <c r="X128" s="112" t="s">
        <v>146</v>
      </c>
      <c r="Y128" s="112" t="s">
        <v>174</v>
      </c>
      <c r="Z128" s="112"/>
      <c r="AA128" s="152"/>
      <c r="AB128" s="152">
        <v>4300000</v>
      </c>
      <c r="AC128" s="152">
        <f t="shared" si="18"/>
        <v>20700000</v>
      </c>
      <c r="AD128" s="195">
        <v>24523</v>
      </c>
      <c r="AE128" s="196">
        <f>24450600-3750600</f>
        <v>20700000</v>
      </c>
      <c r="AF128" s="210">
        <f t="shared" si="16"/>
        <v>0</v>
      </c>
      <c r="AG128" s="241">
        <v>28323</v>
      </c>
      <c r="AH128" s="244">
        <v>45174</v>
      </c>
      <c r="AI128" s="246">
        <v>20700000</v>
      </c>
      <c r="AJ128" s="240">
        <f t="shared" si="17"/>
        <v>0</v>
      </c>
      <c r="AK128" s="241" t="s">
        <v>809</v>
      </c>
      <c r="AL128" s="245" t="s">
        <v>810</v>
      </c>
      <c r="AM128" s="380">
        <v>20700000</v>
      </c>
      <c r="AN128" s="13" t="s">
        <v>815</v>
      </c>
      <c r="AQ128" s="402"/>
    </row>
    <row r="129" spans="1:43" ht="116.25" customHeight="1" x14ac:dyDescent="0.2">
      <c r="A129" s="19" t="s">
        <v>316</v>
      </c>
      <c r="B129" s="71" t="s">
        <v>180</v>
      </c>
      <c r="C129" s="73" t="s">
        <v>321</v>
      </c>
      <c r="D129" s="23" t="s">
        <v>28</v>
      </c>
      <c r="E129" s="110" t="s">
        <v>159</v>
      </c>
      <c r="F129" s="110" t="s">
        <v>159</v>
      </c>
      <c r="G129" s="33" t="s">
        <v>413</v>
      </c>
      <c r="H129" s="72" t="s">
        <v>149</v>
      </c>
      <c r="I129" s="33">
        <v>81112215</v>
      </c>
      <c r="J129" s="33">
        <v>1</v>
      </c>
      <c r="K129" s="33">
        <v>1</v>
      </c>
      <c r="L129" s="33">
        <v>11</v>
      </c>
      <c r="M129" s="33">
        <v>1</v>
      </c>
      <c r="N129" s="33" t="s">
        <v>25</v>
      </c>
      <c r="O129" s="33" t="s">
        <v>312</v>
      </c>
      <c r="P129" s="151">
        <f>(2950000*11)*1.06</f>
        <v>34397000</v>
      </c>
      <c r="Q129" s="111">
        <v>0</v>
      </c>
      <c r="R129" s="111">
        <v>0</v>
      </c>
      <c r="S129" s="111" t="s">
        <v>313</v>
      </c>
      <c r="T129" s="111" t="s">
        <v>314</v>
      </c>
      <c r="U129" s="72" t="s">
        <v>141</v>
      </c>
      <c r="V129" s="72">
        <v>3846666</v>
      </c>
      <c r="W129" s="33" t="s">
        <v>142</v>
      </c>
      <c r="X129" s="112" t="s">
        <v>496</v>
      </c>
      <c r="Y129" s="112" t="s">
        <v>174</v>
      </c>
      <c r="Z129" s="112"/>
      <c r="AA129" s="152"/>
      <c r="AB129" s="152">
        <v>8755600</v>
      </c>
      <c r="AC129" s="152">
        <f t="shared" si="18"/>
        <v>25641400</v>
      </c>
      <c r="AD129" s="195" t="s">
        <v>738</v>
      </c>
      <c r="AE129" s="196">
        <f>12508000-3231233+16677333-312700</f>
        <v>25641400</v>
      </c>
      <c r="AF129" s="210">
        <f t="shared" si="16"/>
        <v>0</v>
      </c>
      <c r="AG129" s="241" t="s">
        <v>746</v>
      </c>
      <c r="AH129" s="255" t="s">
        <v>747</v>
      </c>
      <c r="AI129" s="246">
        <f>9276767+16364633</f>
        <v>25641400</v>
      </c>
      <c r="AJ129" s="240">
        <f t="shared" si="17"/>
        <v>0</v>
      </c>
      <c r="AK129" s="241" t="s">
        <v>748</v>
      </c>
      <c r="AL129" s="252" t="s">
        <v>521</v>
      </c>
      <c r="AM129" s="376">
        <f>3022767+3127000+3127000+729633+3127000+3127000+3127000</f>
        <v>19387400</v>
      </c>
      <c r="AN129" s="13" t="s">
        <v>815</v>
      </c>
      <c r="AO129" s="8" t="s">
        <v>999</v>
      </c>
    </row>
    <row r="130" spans="1:43" ht="116.25" customHeight="1" x14ac:dyDescent="0.2">
      <c r="A130" s="19" t="s">
        <v>316</v>
      </c>
      <c r="B130" s="71" t="s">
        <v>180</v>
      </c>
      <c r="C130" s="73" t="s">
        <v>321</v>
      </c>
      <c r="D130" s="23" t="s">
        <v>28</v>
      </c>
      <c r="E130" s="110" t="s">
        <v>159</v>
      </c>
      <c r="F130" s="110" t="s">
        <v>159</v>
      </c>
      <c r="G130" s="33" t="s">
        <v>413</v>
      </c>
      <c r="H130" s="72" t="s">
        <v>151</v>
      </c>
      <c r="I130" s="33">
        <v>81111812</v>
      </c>
      <c r="J130" s="33">
        <v>6</v>
      </c>
      <c r="K130" s="33">
        <v>6</v>
      </c>
      <c r="L130" s="33">
        <v>6</v>
      </c>
      <c r="M130" s="33">
        <v>1</v>
      </c>
      <c r="N130" s="33" t="s">
        <v>24</v>
      </c>
      <c r="O130" s="33" t="s">
        <v>312</v>
      </c>
      <c r="P130" s="151">
        <v>715176</v>
      </c>
      <c r="Q130" s="111">
        <v>0</v>
      </c>
      <c r="R130" s="111">
        <v>0</v>
      </c>
      <c r="S130" s="111" t="s">
        <v>313</v>
      </c>
      <c r="T130" s="111" t="s">
        <v>314</v>
      </c>
      <c r="U130" s="72" t="s">
        <v>141</v>
      </c>
      <c r="V130" s="72">
        <v>3846666</v>
      </c>
      <c r="W130" s="33" t="s">
        <v>142</v>
      </c>
      <c r="X130" s="112" t="s">
        <v>26</v>
      </c>
      <c r="Y130" s="112" t="s">
        <v>174</v>
      </c>
      <c r="Z130" s="112"/>
      <c r="AA130" s="152"/>
      <c r="AB130" s="152"/>
      <c r="AC130" s="152">
        <f t="shared" si="18"/>
        <v>715176</v>
      </c>
      <c r="AD130" s="195">
        <v>15923</v>
      </c>
      <c r="AE130" s="196">
        <v>715176</v>
      </c>
      <c r="AF130" s="210">
        <f t="shared" si="16"/>
        <v>0</v>
      </c>
      <c r="AG130" s="241">
        <v>24323</v>
      </c>
      <c r="AH130" s="244">
        <v>45117</v>
      </c>
      <c r="AI130" s="246">
        <v>715176</v>
      </c>
      <c r="AJ130" s="240">
        <f t="shared" si="17"/>
        <v>0</v>
      </c>
      <c r="AK130" s="241" t="s">
        <v>741</v>
      </c>
      <c r="AL130" s="241" t="s">
        <v>628</v>
      </c>
      <c r="AM130" s="380">
        <v>715176</v>
      </c>
      <c r="AN130" s="12"/>
      <c r="AQ130" s="402"/>
    </row>
    <row r="131" spans="1:43" ht="116.25" customHeight="1" x14ac:dyDescent="0.2">
      <c r="A131" s="19" t="s">
        <v>316</v>
      </c>
      <c r="B131" s="71" t="s">
        <v>180</v>
      </c>
      <c r="C131" s="73" t="s">
        <v>321</v>
      </c>
      <c r="D131" s="23" t="s">
        <v>28</v>
      </c>
      <c r="E131" s="110" t="s">
        <v>159</v>
      </c>
      <c r="F131" s="110" t="s">
        <v>159</v>
      </c>
      <c r="G131" s="33" t="s">
        <v>413</v>
      </c>
      <c r="H131" s="72" t="s">
        <v>151</v>
      </c>
      <c r="I131" s="33">
        <v>81111812</v>
      </c>
      <c r="J131" s="33">
        <v>6</v>
      </c>
      <c r="K131" s="33">
        <v>6</v>
      </c>
      <c r="L131" s="33">
        <v>6</v>
      </c>
      <c r="M131" s="33">
        <v>1</v>
      </c>
      <c r="N131" s="33" t="s">
        <v>24</v>
      </c>
      <c r="O131" s="33" t="s">
        <v>385</v>
      </c>
      <c r="P131" s="151">
        <v>3284824</v>
      </c>
      <c r="Q131" s="111">
        <v>0</v>
      </c>
      <c r="R131" s="111">
        <v>0</v>
      </c>
      <c r="S131" s="111" t="s">
        <v>313</v>
      </c>
      <c r="T131" s="111" t="s">
        <v>314</v>
      </c>
      <c r="U131" s="72" t="s">
        <v>141</v>
      </c>
      <c r="V131" s="72">
        <v>3846666</v>
      </c>
      <c r="W131" s="33" t="s">
        <v>142</v>
      </c>
      <c r="X131" s="112" t="s">
        <v>26</v>
      </c>
      <c r="Y131" s="112" t="s">
        <v>174</v>
      </c>
      <c r="Z131" s="112"/>
      <c r="AA131" s="152"/>
      <c r="AB131" s="152"/>
      <c r="AC131" s="152">
        <f t="shared" si="18"/>
        <v>3284824</v>
      </c>
      <c r="AD131" s="195">
        <v>15923</v>
      </c>
      <c r="AE131" s="196">
        <f>3284824-715176</f>
        <v>2569648</v>
      </c>
      <c r="AF131" s="210">
        <f t="shared" si="16"/>
        <v>715176</v>
      </c>
      <c r="AG131" s="241">
        <v>24323</v>
      </c>
      <c r="AH131" s="244">
        <v>45117</v>
      </c>
      <c r="AI131" s="246">
        <v>2569648</v>
      </c>
      <c r="AJ131" s="240">
        <f t="shared" si="17"/>
        <v>715176</v>
      </c>
      <c r="AK131" s="241" t="s">
        <v>741</v>
      </c>
      <c r="AL131" s="241" t="s">
        <v>628</v>
      </c>
      <c r="AM131" s="380">
        <f>229656+134484+485520+1395870+324118</f>
        <v>2569648</v>
      </c>
      <c r="AN131" s="12"/>
      <c r="AQ131" s="402"/>
    </row>
    <row r="132" spans="1:43" ht="116.25" customHeight="1" x14ac:dyDescent="0.2">
      <c r="A132" s="19" t="s">
        <v>316</v>
      </c>
      <c r="B132" s="71" t="s">
        <v>180</v>
      </c>
      <c r="C132" s="73" t="s">
        <v>321</v>
      </c>
      <c r="D132" s="23" t="s">
        <v>28</v>
      </c>
      <c r="E132" s="110" t="s">
        <v>159</v>
      </c>
      <c r="F132" s="110" t="s">
        <v>159</v>
      </c>
      <c r="G132" s="33" t="s">
        <v>413</v>
      </c>
      <c r="H132" s="72" t="s">
        <v>153</v>
      </c>
      <c r="I132" s="33" t="s">
        <v>154</v>
      </c>
      <c r="J132" s="33">
        <v>5</v>
      </c>
      <c r="K132" s="33">
        <v>5</v>
      </c>
      <c r="L132" s="33">
        <v>7</v>
      </c>
      <c r="M132" s="33">
        <v>1</v>
      </c>
      <c r="N132" s="33" t="s">
        <v>24</v>
      </c>
      <c r="O132" s="33" t="s">
        <v>385</v>
      </c>
      <c r="P132" s="151">
        <v>5000000</v>
      </c>
      <c r="Q132" s="111">
        <v>0</v>
      </c>
      <c r="R132" s="111">
        <v>0</v>
      </c>
      <c r="S132" s="111" t="s">
        <v>313</v>
      </c>
      <c r="T132" s="111" t="s">
        <v>314</v>
      </c>
      <c r="U132" s="72" t="s">
        <v>141</v>
      </c>
      <c r="V132" s="72">
        <v>3846666</v>
      </c>
      <c r="W132" s="33" t="s">
        <v>142</v>
      </c>
      <c r="X132" s="112" t="s">
        <v>26</v>
      </c>
      <c r="Y132" s="112" t="s">
        <v>174</v>
      </c>
      <c r="Z132" s="112"/>
      <c r="AA132" s="152"/>
      <c r="AB132" s="152"/>
      <c r="AC132" s="152">
        <f t="shared" si="18"/>
        <v>5000000</v>
      </c>
      <c r="AD132" s="195">
        <v>13023</v>
      </c>
      <c r="AE132" s="196">
        <v>5000000</v>
      </c>
      <c r="AF132" s="210">
        <f t="shared" si="16"/>
        <v>0</v>
      </c>
      <c r="AG132" s="241">
        <v>17823</v>
      </c>
      <c r="AH132" s="244">
        <v>45078</v>
      </c>
      <c r="AI132" s="246">
        <v>5000000</v>
      </c>
      <c r="AJ132" s="240">
        <f t="shared" si="17"/>
        <v>0</v>
      </c>
      <c r="AK132" s="241" t="s">
        <v>627</v>
      </c>
      <c r="AL132" s="241" t="s">
        <v>628</v>
      </c>
      <c r="AM132" s="380">
        <f>1176989+1390987+427995+1711984+292045</f>
        <v>5000000</v>
      </c>
      <c r="AN132" s="12"/>
      <c r="AP132" s="402"/>
      <c r="AQ132" s="402"/>
    </row>
    <row r="133" spans="1:43" ht="116.25" customHeight="1" x14ac:dyDescent="0.2">
      <c r="A133" s="19" t="s">
        <v>316</v>
      </c>
      <c r="B133" s="71" t="s">
        <v>180</v>
      </c>
      <c r="C133" s="73" t="s">
        <v>321</v>
      </c>
      <c r="D133" s="23" t="s">
        <v>28</v>
      </c>
      <c r="E133" s="110" t="s">
        <v>159</v>
      </c>
      <c r="F133" s="110" t="s">
        <v>159</v>
      </c>
      <c r="G133" s="33" t="s">
        <v>413</v>
      </c>
      <c r="H133" s="72" t="s">
        <v>155</v>
      </c>
      <c r="I133" s="33">
        <v>43233205</v>
      </c>
      <c r="J133" s="33">
        <v>6</v>
      </c>
      <c r="K133" s="33">
        <v>6</v>
      </c>
      <c r="L133" s="33">
        <v>1</v>
      </c>
      <c r="M133" s="33">
        <v>1</v>
      </c>
      <c r="N133" s="33" t="s">
        <v>24</v>
      </c>
      <c r="O133" s="33" t="s">
        <v>312</v>
      </c>
      <c r="P133" s="151">
        <f>14000000</f>
        <v>14000000</v>
      </c>
      <c r="Q133" s="111">
        <v>0</v>
      </c>
      <c r="R133" s="111">
        <v>0</v>
      </c>
      <c r="S133" s="111" t="s">
        <v>313</v>
      </c>
      <c r="T133" s="111" t="s">
        <v>314</v>
      </c>
      <c r="U133" s="72" t="s">
        <v>141</v>
      </c>
      <c r="V133" s="72">
        <v>3846666</v>
      </c>
      <c r="W133" s="33" t="s">
        <v>142</v>
      </c>
      <c r="X133" s="112" t="s">
        <v>150</v>
      </c>
      <c r="Y133" s="112" t="s">
        <v>174</v>
      </c>
      <c r="Z133" s="112"/>
      <c r="AA133" s="152"/>
      <c r="AB133" s="152">
        <v>4790000</v>
      </c>
      <c r="AC133" s="152">
        <f t="shared" si="18"/>
        <v>9210000</v>
      </c>
      <c r="AD133" s="195">
        <v>25123</v>
      </c>
      <c r="AE133" s="196">
        <f>13619760-4409760</f>
        <v>9210000</v>
      </c>
      <c r="AF133" s="210">
        <f t="shared" si="16"/>
        <v>0</v>
      </c>
      <c r="AG133" s="241">
        <v>28523</v>
      </c>
      <c r="AH133" s="244">
        <v>45177</v>
      </c>
      <c r="AI133" s="246">
        <v>9210000</v>
      </c>
      <c r="AJ133" s="240">
        <f t="shared" si="17"/>
        <v>0</v>
      </c>
      <c r="AK133" s="241">
        <v>119</v>
      </c>
      <c r="AL133" s="241" t="s">
        <v>811</v>
      </c>
      <c r="AM133" s="380">
        <f>9210000</f>
        <v>9210000</v>
      </c>
      <c r="AN133" s="13" t="s">
        <v>815</v>
      </c>
      <c r="AQ133" s="402"/>
    </row>
    <row r="134" spans="1:43" ht="116.25" customHeight="1" x14ac:dyDescent="0.2">
      <c r="A134" s="19" t="s">
        <v>316</v>
      </c>
      <c r="B134" s="71" t="s">
        <v>180</v>
      </c>
      <c r="C134" s="73" t="s">
        <v>321</v>
      </c>
      <c r="D134" s="23" t="s">
        <v>28</v>
      </c>
      <c r="E134" s="110" t="s">
        <v>159</v>
      </c>
      <c r="F134" s="110" t="s">
        <v>159</v>
      </c>
      <c r="G134" s="33" t="s">
        <v>413</v>
      </c>
      <c r="H134" s="72" t="s">
        <v>148</v>
      </c>
      <c r="I134" s="33">
        <v>81112100</v>
      </c>
      <c r="J134" s="85">
        <v>1</v>
      </c>
      <c r="K134" s="85">
        <v>2</v>
      </c>
      <c r="L134" s="85">
        <v>10</v>
      </c>
      <c r="M134" s="85">
        <v>1</v>
      </c>
      <c r="N134" s="33" t="s">
        <v>86</v>
      </c>
      <c r="O134" s="72" t="s">
        <v>312</v>
      </c>
      <c r="P134" s="151">
        <v>45000000</v>
      </c>
      <c r="Q134" s="111">
        <v>0</v>
      </c>
      <c r="R134" s="111">
        <v>0</v>
      </c>
      <c r="S134" s="111" t="s">
        <v>313</v>
      </c>
      <c r="T134" s="111" t="s">
        <v>314</v>
      </c>
      <c r="U134" s="72" t="s">
        <v>141</v>
      </c>
      <c r="V134" s="72">
        <v>3846666</v>
      </c>
      <c r="W134" s="33" t="s">
        <v>142</v>
      </c>
      <c r="X134" s="112" t="s">
        <v>26</v>
      </c>
      <c r="Y134" s="112" t="s">
        <v>174</v>
      </c>
      <c r="Z134" s="112"/>
      <c r="AA134" s="152">
        <f>16014789+1790000+8755600+4300000+6285800+1055796</f>
        <v>38201985</v>
      </c>
      <c r="AB134" s="152"/>
      <c r="AC134" s="152">
        <f t="shared" si="18"/>
        <v>83201985</v>
      </c>
      <c r="AD134" s="195" t="s">
        <v>959</v>
      </c>
      <c r="AE134" s="196">
        <f>61014789+18517050</f>
        <v>79531839</v>
      </c>
      <c r="AF134" s="210">
        <f t="shared" si="16"/>
        <v>3670146</v>
      </c>
      <c r="AG134" s="241" t="s">
        <v>969</v>
      </c>
      <c r="AH134" s="255" t="s">
        <v>970</v>
      </c>
      <c r="AI134" s="246">
        <f>61014789+18517050</f>
        <v>79531839</v>
      </c>
      <c r="AJ134" s="240">
        <f t="shared" si="17"/>
        <v>3670146</v>
      </c>
      <c r="AK134" s="245" t="s">
        <v>971</v>
      </c>
      <c r="AL134" s="241" t="s">
        <v>444</v>
      </c>
      <c r="AM134" s="375">
        <f>5546799+1905938+5546799+5546799+5546799+5546799+5546799+5517514+5546799+5546799+5546799</f>
        <v>57344643</v>
      </c>
      <c r="AN134" s="11" t="s">
        <v>835</v>
      </c>
      <c r="AO134" s="8" t="s">
        <v>998</v>
      </c>
      <c r="AP134" s="402"/>
    </row>
    <row r="135" spans="1:43" ht="116.25" customHeight="1" x14ac:dyDescent="0.2">
      <c r="A135" s="19" t="s">
        <v>316</v>
      </c>
      <c r="B135" s="71" t="s">
        <v>180</v>
      </c>
      <c r="C135" s="73" t="s">
        <v>321</v>
      </c>
      <c r="D135" s="23" t="s">
        <v>28</v>
      </c>
      <c r="E135" s="110" t="s">
        <v>159</v>
      </c>
      <c r="F135" s="110" t="s">
        <v>159</v>
      </c>
      <c r="G135" s="33" t="s">
        <v>413</v>
      </c>
      <c r="H135" s="72" t="s">
        <v>459</v>
      </c>
      <c r="I135" s="33">
        <v>81112200</v>
      </c>
      <c r="J135" s="33">
        <v>5</v>
      </c>
      <c r="K135" s="33">
        <v>5</v>
      </c>
      <c r="L135" s="33" t="s">
        <v>461</v>
      </c>
      <c r="M135" s="33">
        <v>1</v>
      </c>
      <c r="N135" s="33" t="s">
        <v>86</v>
      </c>
      <c r="O135" s="33" t="s">
        <v>312</v>
      </c>
      <c r="P135" s="151">
        <f>13000000*1.1</f>
        <v>14300000.000000002</v>
      </c>
      <c r="Q135" s="111">
        <v>0</v>
      </c>
      <c r="R135" s="111">
        <v>0</v>
      </c>
      <c r="S135" s="111" t="s">
        <v>313</v>
      </c>
      <c r="T135" s="111" t="s">
        <v>314</v>
      </c>
      <c r="U135" s="72" t="s">
        <v>141</v>
      </c>
      <c r="V135" s="72">
        <v>3846666</v>
      </c>
      <c r="W135" s="33" t="s">
        <v>142</v>
      </c>
      <c r="X135" s="112" t="s">
        <v>26</v>
      </c>
      <c r="Y135" s="112" t="s">
        <v>152</v>
      </c>
      <c r="Z135" s="112"/>
      <c r="AA135" s="152"/>
      <c r="AB135" s="152"/>
      <c r="AC135" s="152">
        <f t="shared" si="18"/>
        <v>14300000.000000002</v>
      </c>
      <c r="AD135" s="195">
        <v>5023</v>
      </c>
      <c r="AE135" s="196">
        <f>14300000</f>
        <v>14300000</v>
      </c>
      <c r="AF135" s="210">
        <f t="shared" si="16"/>
        <v>0</v>
      </c>
      <c r="AG135" s="241">
        <v>12323</v>
      </c>
      <c r="AH135" s="244">
        <v>45036</v>
      </c>
      <c r="AI135" s="246">
        <v>14300000</v>
      </c>
      <c r="AJ135" s="240">
        <f t="shared" si="17"/>
        <v>0</v>
      </c>
      <c r="AK135" s="241" t="s">
        <v>553</v>
      </c>
      <c r="AL135" s="241" t="s">
        <v>554</v>
      </c>
      <c r="AM135" s="371">
        <v>14300000</v>
      </c>
      <c r="AN135" s="13" t="s">
        <v>421</v>
      </c>
      <c r="AP135" s="402"/>
      <c r="AQ135" s="402"/>
    </row>
    <row r="136" spans="1:43" ht="116.25" customHeight="1" x14ac:dyDescent="0.2">
      <c r="A136" s="19" t="s">
        <v>316</v>
      </c>
      <c r="B136" s="71" t="s">
        <v>180</v>
      </c>
      <c r="C136" s="73" t="s">
        <v>321</v>
      </c>
      <c r="D136" s="23" t="s">
        <v>28</v>
      </c>
      <c r="E136" s="110" t="s">
        <v>159</v>
      </c>
      <c r="F136" s="110" t="s">
        <v>159</v>
      </c>
      <c r="G136" s="33" t="s">
        <v>413</v>
      </c>
      <c r="H136" s="72" t="s">
        <v>460</v>
      </c>
      <c r="I136" s="33">
        <v>81112200</v>
      </c>
      <c r="J136" s="33">
        <v>5</v>
      </c>
      <c r="K136" s="33">
        <v>5</v>
      </c>
      <c r="L136" s="33">
        <v>2</v>
      </c>
      <c r="M136" s="33">
        <v>1</v>
      </c>
      <c r="N136" s="33" t="s">
        <v>86</v>
      </c>
      <c r="O136" s="33" t="s">
        <v>385</v>
      </c>
      <c r="P136" s="151">
        <v>50000000</v>
      </c>
      <c r="Q136" s="111">
        <v>0</v>
      </c>
      <c r="R136" s="111">
        <v>0</v>
      </c>
      <c r="S136" s="111" t="s">
        <v>313</v>
      </c>
      <c r="T136" s="111" t="s">
        <v>314</v>
      </c>
      <c r="U136" s="72" t="s">
        <v>141</v>
      </c>
      <c r="V136" s="72">
        <v>3846666</v>
      </c>
      <c r="W136" s="33" t="s">
        <v>142</v>
      </c>
      <c r="X136" s="112" t="s">
        <v>26</v>
      </c>
      <c r="Y136" s="112" t="s">
        <v>152</v>
      </c>
      <c r="Z136" s="33"/>
      <c r="AA136" s="112"/>
      <c r="AB136" s="145">
        <v>3956500</v>
      </c>
      <c r="AC136" s="152">
        <f t="shared" si="18"/>
        <v>46043500</v>
      </c>
      <c r="AD136" s="195">
        <v>5023</v>
      </c>
      <c r="AE136" s="196">
        <f>50000000-4526995</f>
        <v>45473005</v>
      </c>
      <c r="AF136" s="210">
        <f t="shared" si="16"/>
        <v>570495</v>
      </c>
      <c r="AG136" s="241">
        <v>12323</v>
      </c>
      <c r="AH136" s="244">
        <v>45036</v>
      </c>
      <c r="AI136" s="246">
        <v>45473005</v>
      </c>
      <c r="AJ136" s="240">
        <f t="shared" si="17"/>
        <v>570495</v>
      </c>
      <c r="AK136" s="241" t="s">
        <v>553</v>
      </c>
      <c r="AL136" s="241" t="s">
        <v>554</v>
      </c>
      <c r="AM136" s="371">
        <v>45473005</v>
      </c>
      <c r="AN136" s="11" t="s">
        <v>835</v>
      </c>
      <c r="AQ136" s="402"/>
    </row>
    <row r="137" spans="1:43" ht="116.25" customHeight="1" x14ac:dyDescent="0.2">
      <c r="A137" s="19" t="s">
        <v>316</v>
      </c>
      <c r="B137" s="71" t="s">
        <v>180</v>
      </c>
      <c r="C137" s="73" t="s">
        <v>321</v>
      </c>
      <c r="D137" s="23" t="s">
        <v>28</v>
      </c>
      <c r="E137" s="110" t="s">
        <v>159</v>
      </c>
      <c r="F137" s="110" t="s">
        <v>159</v>
      </c>
      <c r="G137" s="33" t="s">
        <v>413</v>
      </c>
      <c r="H137" s="72" t="s">
        <v>156</v>
      </c>
      <c r="I137" s="33">
        <v>81112200</v>
      </c>
      <c r="J137" s="33">
        <v>1</v>
      </c>
      <c r="K137" s="33">
        <v>1</v>
      </c>
      <c r="L137" s="33">
        <v>11</v>
      </c>
      <c r="M137" s="33">
        <v>1</v>
      </c>
      <c r="N137" s="33" t="s">
        <v>25</v>
      </c>
      <c r="O137" s="33" t="s">
        <v>312</v>
      </c>
      <c r="P137" s="151">
        <v>32000000</v>
      </c>
      <c r="Q137" s="111">
        <v>0</v>
      </c>
      <c r="R137" s="111">
        <v>0</v>
      </c>
      <c r="S137" s="111" t="s">
        <v>313</v>
      </c>
      <c r="T137" s="111" t="s">
        <v>314</v>
      </c>
      <c r="U137" s="72" t="s">
        <v>141</v>
      </c>
      <c r="V137" s="72">
        <v>3846666</v>
      </c>
      <c r="W137" s="33" t="s">
        <v>142</v>
      </c>
      <c r="X137" s="112" t="s">
        <v>26</v>
      </c>
      <c r="Y137" s="33" t="s">
        <v>152</v>
      </c>
      <c r="Z137" s="113"/>
      <c r="AA137" s="112"/>
      <c r="AB137" s="112"/>
      <c r="AC137" s="152">
        <f t="shared" si="18"/>
        <v>32000000</v>
      </c>
      <c r="AD137" s="195">
        <v>1023</v>
      </c>
      <c r="AE137" s="196">
        <v>31841425</v>
      </c>
      <c r="AF137" s="210">
        <f t="shared" si="16"/>
        <v>158575</v>
      </c>
      <c r="AG137" s="241">
        <v>1723</v>
      </c>
      <c r="AH137" s="244">
        <v>44946</v>
      </c>
      <c r="AI137" s="253">
        <v>31841425</v>
      </c>
      <c r="AJ137" s="240">
        <f t="shared" si="17"/>
        <v>158575</v>
      </c>
      <c r="AK137" s="241" t="s">
        <v>526</v>
      </c>
      <c r="AL137" s="245" t="s">
        <v>527</v>
      </c>
      <c r="AM137" s="373">
        <f>959933+2618000+2618000+2618000+2618000+2618000+2618000+2618000+2618000+2618000+2618000+4701492</f>
        <v>31841425</v>
      </c>
      <c r="AN137" s="12"/>
      <c r="AQ137" s="402"/>
    </row>
    <row r="138" spans="1:43" ht="116.25" customHeight="1" x14ac:dyDescent="0.2">
      <c r="A138" s="19" t="s">
        <v>316</v>
      </c>
      <c r="B138" s="71" t="s">
        <v>180</v>
      </c>
      <c r="C138" s="73" t="s">
        <v>321</v>
      </c>
      <c r="D138" s="23" t="s">
        <v>28</v>
      </c>
      <c r="E138" s="110" t="s">
        <v>159</v>
      </c>
      <c r="F138" s="110" t="s">
        <v>159</v>
      </c>
      <c r="G138" s="33" t="s">
        <v>413</v>
      </c>
      <c r="H138" s="72" t="s">
        <v>157</v>
      </c>
      <c r="I138" s="33">
        <v>81112220</v>
      </c>
      <c r="J138" s="33">
        <v>5</v>
      </c>
      <c r="K138" s="33">
        <v>5</v>
      </c>
      <c r="L138" s="33">
        <v>7</v>
      </c>
      <c r="M138" s="33">
        <v>1</v>
      </c>
      <c r="N138" s="33" t="s">
        <v>24</v>
      </c>
      <c r="O138" s="33" t="s">
        <v>312</v>
      </c>
      <c r="P138" s="151">
        <v>5000000</v>
      </c>
      <c r="Q138" s="111">
        <v>0</v>
      </c>
      <c r="R138" s="111">
        <v>0</v>
      </c>
      <c r="S138" s="111" t="s">
        <v>313</v>
      </c>
      <c r="T138" s="111" t="s">
        <v>314</v>
      </c>
      <c r="U138" s="72" t="s">
        <v>141</v>
      </c>
      <c r="V138" s="72">
        <v>3846666</v>
      </c>
      <c r="W138" s="33" t="s">
        <v>142</v>
      </c>
      <c r="X138" s="112" t="s">
        <v>26</v>
      </c>
      <c r="Y138" s="112" t="s">
        <v>152</v>
      </c>
      <c r="Z138" s="33"/>
      <c r="AA138" s="112"/>
      <c r="AB138" s="112"/>
      <c r="AC138" s="152">
        <f t="shared" si="18"/>
        <v>5000000</v>
      </c>
      <c r="AD138" s="195">
        <v>14523</v>
      </c>
      <c r="AE138" s="196">
        <v>5000000</v>
      </c>
      <c r="AF138" s="210">
        <f t="shared" si="16"/>
        <v>0</v>
      </c>
      <c r="AG138" s="241">
        <v>28223</v>
      </c>
      <c r="AH138" s="244">
        <v>45169</v>
      </c>
      <c r="AI138" s="246">
        <v>5000000</v>
      </c>
      <c r="AJ138" s="240">
        <f t="shared" si="17"/>
        <v>0</v>
      </c>
      <c r="AK138" s="241" t="s">
        <v>806</v>
      </c>
      <c r="AL138" s="241" t="s">
        <v>648</v>
      </c>
      <c r="AM138" s="380">
        <f>1000000+3125000+875000</f>
        <v>5000000</v>
      </c>
      <c r="AN138" s="12"/>
      <c r="AQ138" s="402"/>
    </row>
    <row r="139" spans="1:43" ht="116.25" customHeight="1" x14ac:dyDescent="0.2">
      <c r="A139" s="19" t="s">
        <v>316</v>
      </c>
      <c r="B139" s="71" t="s">
        <v>180</v>
      </c>
      <c r="C139" s="73" t="s">
        <v>321</v>
      </c>
      <c r="D139" s="23" t="s">
        <v>28</v>
      </c>
      <c r="E139" s="110" t="s">
        <v>159</v>
      </c>
      <c r="F139" s="110" t="s">
        <v>159</v>
      </c>
      <c r="G139" s="33" t="s">
        <v>413</v>
      </c>
      <c r="H139" s="72" t="s">
        <v>158</v>
      </c>
      <c r="I139" s="33">
        <v>83121700</v>
      </c>
      <c r="J139" s="33">
        <v>5</v>
      </c>
      <c r="K139" s="33">
        <v>5</v>
      </c>
      <c r="L139" s="33">
        <v>7</v>
      </c>
      <c r="M139" s="33">
        <v>1</v>
      </c>
      <c r="N139" s="33" t="s">
        <v>24</v>
      </c>
      <c r="O139" s="33" t="s">
        <v>312</v>
      </c>
      <c r="P139" s="151">
        <v>15000000</v>
      </c>
      <c r="Q139" s="111">
        <v>0</v>
      </c>
      <c r="R139" s="111">
        <v>0</v>
      </c>
      <c r="S139" s="111" t="s">
        <v>313</v>
      </c>
      <c r="T139" s="111" t="s">
        <v>314</v>
      </c>
      <c r="U139" s="72" t="s">
        <v>141</v>
      </c>
      <c r="V139" s="72">
        <v>3846666</v>
      </c>
      <c r="W139" s="33" t="s">
        <v>142</v>
      </c>
      <c r="X139" s="112" t="s">
        <v>26</v>
      </c>
      <c r="Y139" s="112" t="s">
        <v>152</v>
      </c>
      <c r="Z139" s="33"/>
      <c r="AA139" s="112"/>
      <c r="AB139" s="112"/>
      <c r="AC139" s="152">
        <f t="shared" si="18"/>
        <v>15000000</v>
      </c>
      <c r="AD139" s="195">
        <v>15623</v>
      </c>
      <c r="AE139" s="196">
        <v>15000000</v>
      </c>
      <c r="AF139" s="210">
        <f t="shared" si="16"/>
        <v>0</v>
      </c>
      <c r="AG139" s="241">
        <v>25423</v>
      </c>
      <c r="AH139" s="244">
        <v>45134</v>
      </c>
      <c r="AI139" s="246">
        <v>15000000</v>
      </c>
      <c r="AJ139" s="240">
        <f t="shared" si="17"/>
        <v>0</v>
      </c>
      <c r="AK139" s="241">
        <v>109</v>
      </c>
      <c r="AL139" s="241" t="s">
        <v>761</v>
      </c>
      <c r="AM139" s="380">
        <f>2880000+840000+5000000+4000000+2280000</f>
        <v>15000000</v>
      </c>
      <c r="AN139" s="290"/>
      <c r="AQ139" s="402"/>
    </row>
    <row r="140" spans="1:43" ht="116.25" customHeight="1" x14ac:dyDescent="0.2">
      <c r="A140" s="19" t="s">
        <v>316</v>
      </c>
      <c r="B140" s="71" t="s">
        <v>180</v>
      </c>
      <c r="C140" s="73" t="s">
        <v>321</v>
      </c>
      <c r="D140" s="23" t="s">
        <v>28</v>
      </c>
      <c r="E140" s="110" t="s">
        <v>159</v>
      </c>
      <c r="F140" s="110" t="s">
        <v>159</v>
      </c>
      <c r="G140" s="33" t="s">
        <v>413</v>
      </c>
      <c r="H140" s="72" t="s">
        <v>576</v>
      </c>
      <c r="I140" s="33">
        <v>81112200</v>
      </c>
      <c r="J140" s="33">
        <v>5</v>
      </c>
      <c r="K140" s="33">
        <v>5</v>
      </c>
      <c r="L140" s="33">
        <v>7</v>
      </c>
      <c r="M140" s="33">
        <v>1</v>
      </c>
      <c r="N140" s="33" t="s">
        <v>24</v>
      </c>
      <c r="O140" s="33" t="s">
        <v>312</v>
      </c>
      <c r="P140" s="151">
        <v>5000000</v>
      </c>
      <c r="Q140" s="111">
        <v>0</v>
      </c>
      <c r="R140" s="111">
        <v>0</v>
      </c>
      <c r="S140" s="111" t="s">
        <v>313</v>
      </c>
      <c r="T140" s="111" t="s">
        <v>314</v>
      </c>
      <c r="U140" s="72" t="s">
        <v>141</v>
      </c>
      <c r="V140" s="72">
        <v>3846666</v>
      </c>
      <c r="W140" s="33" t="s">
        <v>142</v>
      </c>
      <c r="X140" s="112" t="s">
        <v>26</v>
      </c>
      <c r="Y140" s="112" t="s">
        <v>152</v>
      </c>
      <c r="Z140" s="33"/>
      <c r="AA140" s="112"/>
      <c r="AB140" s="112"/>
      <c r="AC140" s="152">
        <f t="shared" si="18"/>
        <v>5000000</v>
      </c>
      <c r="AD140" s="195">
        <v>14623</v>
      </c>
      <c r="AE140" s="196">
        <v>5000000</v>
      </c>
      <c r="AF140" s="210">
        <f t="shared" si="16"/>
        <v>0</v>
      </c>
      <c r="AG140" s="241">
        <v>24723</v>
      </c>
      <c r="AH140" s="244">
        <v>45124</v>
      </c>
      <c r="AI140" s="246">
        <v>5000000</v>
      </c>
      <c r="AJ140" s="240">
        <f t="shared" si="17"/>
        <v>0</v>
      </c>
      <c r="AK140" s="241" t="s">
        <v>745</v>
      </c>
      <c r="AL140" s="241" t="s">
        <v>628</v>
      </c>
      <c r="AM140" s="380">
        <f>849660+971040+1358600+1820700</f>
        <v>5000000</v>
      </c>
      <c r="AN140" s="13" t="s">
        <v>557</v>
      </c>
      <c r="AQ140" s="402"/>
    </row>
    <row r="141" spans="1:43" ht="116.25" customHeight="1" x14ac:dyDescent="0.2">
      <c r="A141" s="19" t="s">
        <v>316</v>
      </c>
      <c r="B141" s="71" t="s">
        <v>180</v>
      </c>
      <c r="C141" s="73" t="s">
        <v>321</v>
      </c>
      <c r="D141" s="23" t="s">
        <v>28</v>
      </c>
      <c r="E141" s="110" t="s">
        <v>159</v>
      </c>
      <c r="F141" s="110" t="s">
        <v>159</v>
      </c>
      <c r="G141" s="33" t="s">
        <v>413</v>
      </c>
      <c r="H141" s="33" t="s">
        <v>163</v>
      </c>
      <c r="I141" s="33">
        <v>80111600</v>
      </c>
      <c r="J141" s="33">
        <v>1</v>
      </c>
      <c r="K141" s="33">
        <v>1</v>
      </c>
      <c r="L141" s="33">
        <v>6</v>
      </c>
      <c r="M141" s="33">
        <v>1</v>
      </c>
      <c r="N141" s="33" t="s">
        <v>25</v>
      </c>
      <c r="O141" s="33" t="s">
        <v>312</v>
      </c>
      <c r="P141" s="152">
        <f>2800000*6</f>
        <v>16800000</v>
      </c>
      <c r="Q141" s="33">
        <v>0</v>
      </c>
      <c r="R141" s="33">
        <v>0</v>
      </c>
      <c r="S141" s="33" t="s">
        <v>313</v>
      </c>
      <c r="T141" s="33" t="s">
        <v>314</v>
      </c>
      <c r="U141" s="33" t="s">
        <v>141</v>
      </c>
      <c r="V141" s="33">
        <v>3846666</v>
      </c>
      <c r="W141" s="33" t="s">
        <v>142</v>
      </c>
      <c r="X141" s="33" t="s">
        <v>26</v>
      </c>
      <c r="Y141" s="33" t="s">
        <v>174</v>
      </c>
      <c r="Z141" s="33"/>
      <c r="AA141" s="33"/>
      <c r="AB141" s="33"/>
      <c r="AC141" s="152">
        <f t="shared" si="18"/>
        <v>16800000</v>
      </c>
      <c r="AD141" s="195">
        <v>21523</v>
      </c>
      <c r="AE141" s="196">
        <f>16800000-280000</f>
        <v>16520000</v>
      </c>
      <c r="AF141" s="210">
        <f t="shared" si="16"/>
        <v>280000</v>
      </c>
      <c r="AG141" s="241">
        <v>23423</v>
      </c>
      <c r="AH141" s="244">
        <v>45111</v>
      </c>
      <c r="AI141" s="246">
        <v>16520000</v>
      </c>
      <c r="AJ141" s="240">
        <f t="shared" si="17"/>
        <v>280000</v>
      </c>
      <c r="AK141" s="241" t="s">
        <v>739</v>
      </c>
      <c r="AL141" s="241" t="s">
        <v>740</v>
      </c>
      <c r="AM141" s="375">
        <f>2520000+2800000+2800000+2800000+2800000+2800000</f>
        <v>16520000</v>
      </c>
      <c r="AN141" s="12"/>
      <c r="AQ141" s="402"/>
    </row>
    <row r="142" spans="1:43" ht="116.25" customHeight="1" x14ac:dyDescent="0.2">
      <c r="A142" s="19" t="s">
        <v>316</v>
      </c>
      <c r="B142" s="71" t="s">
        <v>180</v>
      </c>
      <c r="C142" s="73" t="s">
        <v>321</v>
      </c>
      <c r="D142" s="23" t="s">
        <v>28</v>
      </c>
      <c r="E142" s="110" t="s">
        <v>159</v>
      </c>
      <c r="F142" s="110" t="s">
        <v>159</v>
      </c>
      <c r="G142" s="33" t="s">
        <v>413</v>
      </c>
      <c r="H142" s="72" t="s">
        <v>562</v>
      </c>
      <c r="I142" s="33">
        <v>81112200</v>
      </c>
      <c r="J142" s="33">
        <v>5</v>
      </c>
      <c r="K142" s="33">
        <v>5</v>
      </c>
      <c r="L142" s="33">
        <v>7</v>
      </c>
      <c r="M142" s="33">
        <v>1</v>
      </c>
      <c r="N142" s="33" t="s">
        <v>24</v>
      </c>
      <c r="O142" s="33" t="s">
        <v>312</v>
      </c>
      <c r="P142" s="151">
        <v>6000000</v>
      </c>
      <c r="Q142" s="111">
        <v>0</v>
      </c>
      <c r="R142" s="111">
        <v>0</v>
      </c>
      <c r="S142" s="111" t="s">
        <v>313</v>
      </c>
      <c r="T142" s="111" t="s">
        <v>314</v>
      </c>
      <c r="U142" s="72" t="s">
        <v>141</v>
      </c>
      <c r="V142" s="72">
        <v>3846666</v>
      </c>
      <c r="W142" s="33" t="s">
        <v>142</v>
      </c>
      <c r="X142" s="112" t="s">
        <v>26</v>
      </c>
      <c r="Y142" s="112" t="s">
        <v>152</v>
      </c>
      <c r="Z142" s="33"/>
      <c r="AA142" s="112"/>
      <c r="AB142" s="112"/>
      <c r="AC142" s="152">
        <f t="shared" si="18"/>
        <v>6000000</v>
      </c>
      <c r="AD142" s="195" t="s">
        <v>563</v>
      </c>
      <c r="AE142" s="196">
        <f>6000000-6000000+6000000</f>
        <v>6000000</v>
      </c>
      <c r="AF142" s="210">
        <f t="shared" si="16"/>
        <v>0</v>
      </c>
      <c r="AG142" s="241">
        <v>18723</v>
      </c>
      <c r="AH142" s="244">
        <v>45078</v>
      </c>
      <c r="AI142" s="246">
        <v>6000000</v>
      </c>
      <c r="AJ142" s="240">
        <f t="shared" si="17"/>
        <v>0</v>
      </c>
      <c r="AK142" s="241" t="s">
        <v>649</v>
      </c>
      <c r="AL142" s="241" t="s">
        <v>648</v>
      </c>
      <c r="AM142" s="380">
        <f>805091+1265143+2415273+805091+709402</f>
        <v>6000000</v>
      </c>
      <c r="AN142" s="13" t="s">
        <v>557</v>
      </c>
      <c r="AQ142" s="402"/>
    </row>
    <row r="143" spans="1:43" ht="116.25" customHeight="1" x14ac:dyDescent="0.2">
      <c r="A143" s="9" t="s">
        <v>37</v>
      </c>
      <c r="B143" s="10" t="s">
        <v>1</v>
      </c>
      <c r="C143" s="10" t="s">
        <v>38</v>
      </c>
      <c r="D143" s="71" t="s">
        <v>39</v>
      </c>
      <c r="E143" s="1" t="s">
        <v>126</v>
      </c>
      <c r="F143" s="1" t="s">
        <v>181</v>
      </c>
      <c r="G143" s="17" t="s">
        <v>1</v>
      </c>
      <c r="H143" s="11" t="s">
        <v>40</v>
      </c>
      <c r="I143" s="11">
        <v>50201713</v>
      </c>
      <c r="J143" s="1">
        <v>3</v>
      </c>
      <c r="K143" s="1">
        <v>3</v>
      </c>
      <c r="L143" s="1">
        <v>9</v>
      </c>
      <c r="M143" s="4">
        <v>1</v>
      </c>
      <c r="N143" s="11" t="s">
        <v>24</v>
      </c>
      <c r="O143" s="1" t="s">
        <v>312</v>
      </c>
      <c r="P143" s="21">
        <v>300000</v>
      </c>
      <c r="Q143" s="36">
        <v>0</v>
      </c>
      <c r="R143" s="36">
        <v>0</v>
      </c>
      <c r="S143" s="36" t="s">
        <v>313</v>
      </c>
      <c r="T143" s="36" t="s">
        <v>314</v>
      </c>
      <c r="U143" s="11" t="s">
        <v>22</v>
      </c>
      <c r="V143" s="11">
        <v>3846666</v>
      </c>
      <c r="W143" s="11" t="s">
        <v>23</v>
      </c>
      <c r="X143" s="11" t="s">
        <v>27</v>
      </c>
      <c r="Y143" s="11" t="s">
        <v>41</v>
      </c>
      <c r="Z143" s="11"/>
      <c r="AA143" s="11"/>
      <c r="AB143" s="153">
        <f>183791+10262+91988.59</f>
        <v>286041.58999999997</v>
      </c>
      <c r="AC143" s="155">
        <f t="shared" si="18"/>
        <v>13958.410000000033</v>
      </c>
      <c r="AD143" s="195">
        <v>8023</v>
      </c>
      <c r="AE143" s="224">
        <f>105947-91988.59</f>
        <v>13958.410000000003</v>
      </c>
      <c r="AF143" s="210">
        <f>+AC143-AE143</f>
        <v>2.9103830456733704E-11</v>
      </c>
      <c r="AG143" s="241">
        <v>10623</v>
      </c>
      <c r="AH143" s="244">
        <v>45016</v>
      </c>
      <c r="AI143" s="253">
        <v>13958.41</v>
      </c>
      <c r="AJ143" s="240">
        <f t="shared" si="17"/>
        <v>3.2741809263825417E-11</v>
      </c>
      <c r="AK143" s="241" t="s">
        <v>506</v>
      </c>
      <c r="AL143" s="241" t="s">
        <v>508</v>
      </c>
      <c r="AM143" s="371">
        <f>1150.93+1550.93+1550.93+3101.87+4652.8</f>
        <v>12007.46</v>
      </c>
      <c r="AN143" s="11" t="s">
        <v>783</v>
      </c>
      <c r="AO143" s="412" t="s">
        <v>998</v>
      </c>
      <c r="AP143" s="402">
        <f>AI143-AM143</f>
        <v>1950.9500000000007</v>
      </c>
    </row>
    <row r="144" spans="1:43" ht="116.25" customHeight="1" x14ac:dyDescent="0.2">
      <c r="A144" s="9" t="s">
        <v>297</v>
      </c>
      <c r="B144" s="10" t="s">
        <v>1</v>
      </c>
      <c r="C144" s="10" t="s">
        <v>299</v>
      </c>
      <c r="D144" s="40" t="s">
        <v>17</v>
      </c>
      <c r="E144" s="1" t="s">
        <v>32</v>
      </c>
      <c r="F144" s="1" t="s">
        <v>186</v>
      </c>
      <c r="G144" s="17" t="s">
        <v>1</v>
      </c>
      <c r="H144" s="4" t="s">
        <v>561</v>
      </c>
      <c r="I144" s="4">
        <v>53102710</v>
      </c>
      <c r="J144" s="4">
        <v>3</v>
      </c>
      <c r="K144" s="4">
        <v>4</v>
      </c>
      <c r="L144" s="4">
        <v>8</v>
      </c>
      <c r="M144" s="4">
        <v>1</v>
      </c>
      <c r="N144" s="4" t="s">
        <v>24</v>
      </c>
      <c r="O144" s="3" t="s">
        <v>312</v>
      </c>
      <c r="P144" s="149">
        <v>18025000</v>
      </c>
      <c r="Q144" s="36">
        <v>0</v>
      </c>
      <c r="R144" s="36">
        <v>0</v>
      </c>
      <c r="S144" s="36" t="s">
        <v>313</v>
      </c>
      <c r="T144" s="36" t="s">
        <v>314</v>
      </c>
      <c r="U144" s="1" t="s">
        <v>22</v>
      </c>
      <c r="V144" s="1">
        <v>3846666</v>
      </c>
      <c r="W144" s="6" t="s">
        <v>23</v>
      </c>
      <c r="X144" s="4" t="s">
        <v>27</v>
      </c>
      <c r="Y144" s="2" t="s">
        <v>30</v>
      </c>
      <c r="Z144" s="2"/>
      <c r="AA144" s="2"/>
      <c r="AB144" s="2"/>
      <c r="AC144" s="155">
        <f t="shared" si="18"/>
        <v>18025000</v>
      </c>
      <c r="AD144" s="195">
        <v>14123</v>
      </c>
      <c r="AE144" s="196">
        <f>18025000-40</f>
        <v>18024960</v>
      </c>
      <c r="AF144" s="210">
        <f t="shared" ref="AF144:AF202" si="19">+AC144-AE144</f>
        <v>40</v>
      </c>
      <c r="AG144" s="241">
        <v>20623</v>
      </c>
      <c r="AH144" s="244">
        <v>45090</v>
      </c>
      <c r="AI144" s="253">
        <v>18024960</v>
      </c>
      <c r="AJ144" s="240">
        <f t="shared" si="17"/>
        <v>40</v>
      </c>
      <c r="AK144" s="241" t="s">
        <v>685</v>
      </c>
      <c r="AL144" s="241" t="s">
        <v>686</v>
      </c>
      <c r="AM144" s="372">
        <v>18024960</v>
      </c>
      <c r="AN144" s="12"/>
      <c r="AQ144" s="402"/>
    </row>
    <row r="145" spans="1:43" ht="116.25" customHeight="1" x14ac:dyDescent="0.2">
      <c r="A145" s="9" t="s">
        <v>42</v>
      </c>
      <c r="B145" s="10" t="s">
        <v>1</v>
      </c>
      <c r="C145" s="10" t="s">
        <v>43</v>
      </c>
      <c r="D145" s="160" t="s">
        <v>17</v>
      </c>
      <c r="E145" s="1" t="s">
        <v>126</v>
      </c>
      <c r="F145" s="1" t="s">
        <v>181</v>
      </c>
      <c r="G145" s="17" t="s">
        <v>1</v>
      </c>
      <c r="H145" s="11" t="s">
        <v>44</v>
      </c>
      <c r="I145" s="11" t="s">
        <v>1</v>
      </c>
      <c r="J145" s="1">
        <v>3</v>
      </c>
      <c r="K145" s="1">
        <v>3</v>
      </c>
      <c r="L145" s="1">
        <v>9</v>
      </c>
      <c r="M145" s="4">
        <v>1</v>
      </c>
      <c r="N145" s="11" t="s">
        <v>45</v>
      </c>
      <c r="O145" s="13" t="s">
        <v>312</v>
      </c>
      <c r="P145" s="147">
        <v>500000</v>
      </c>
      <c r="Q145" s="36">
        <v>0</v>
      </c>
      <c r="R145" s="36">
        <v>0</v>
      </c>
      <c r="S145" s="36" t="s">
        <v>313</v>
      </c>
      <c r="T145" s="36" t="s">
        <v>314</v>
      </c>
      <c r="U145" s="11" t="s">
        <v>22</v>
      </c>
      <c r="V145" s="11">
        <v>3846666</v>
      </c>
      <c r="W145" s="11" t="s">
        <v>23</v>
      </c>
      <c r="X145" s="11" t="s">
        <v>46</v>
      </c>
      <c r="Y145" s="11" t="s">
        <v>41</v>
      </c>
      <c r="Z145" s="11"/>
      <c r="AA145" s="11"/>
      <c r="AB145" s="153">
        <f>200000+200000</f>
        <v>400000</v>
      </c>
      <c r="AC145" s="155">
        <f t="shared" si="18"/>
        <v>100000</v>
      </c>
      <c r="AD145" s="223">
        <v>3823</v>
      </c>
      <c r="AE145" s="196">
        <v>50000</v>
      </c>
      <c r="AF145" s="210">
        <f t="shared" si="19"/>
        <v>50000</v>
      </c>
      <c r="AG145" s="241">
        <v>4123</v>
      </c>
      <c r="AH145" s="244">
        <v>44971</v>
      </c>
      <c r="AI145" s="253">
        <v>50000</v>
      </c>
      <c r="AJ145" s="240">
        <f t="shared" si="17"/>
        <v>50000</v>
      </c>
      <c r="AK145" s="245" t="s">
        <v>474</v>
      </c>
      <c r="AL145" s="245" t="s">
        <v>46</v>
      </c>
      <c r="AM145" s="373">
        <v>50000</v>
      </c>
      <c r="AN145" s="11" t="s">
        <v>816</v>
      </c>
      <c r="AQ145" s="402"/>
    </row>
    <row r="146" spans="1:43" ht="116.25" customHeight="1" x14ac:dyDescent="0.2">
      <c r="A146" s="9" t="s">
        <v>42</v>
      </c>
      <c r="B146" s="10" t="s">
        <v>1</v>
      </c>
      <c r="C146" s="10" t="s">
        <v>43</v>
      </c>
      <c r="D146" s="160" t="s">
        <v>17</v>
      </c>
      <c r="E146" s="1" t="s">
        <v>126</v>
      </c>
      <c r="F146" s="1" t="s">
        <v>181</v>
      </c>
      <c r="G146" s="17" t="s">
        <v>1</v>
      </c>
      <c r="H146" s="11" t="s">
        <v>47</v>
      </c>
      <c r="I146" s="11">
        <v>50161814</v>
      </c>
      <c r="J146" s="1">
        <v>3</v>
      </c>
      <c r="K146" s="1">
        <v>3</v>
      </c>
      <c r="L146" s="1">
        <v>9</v>
      </c>
      <c r="M146" s="4">
        <v>1</v>
      </c>
      <c r="N146" s="11" t="s">
        <v>24</v>
      </c>
      <c r="O146" s="13" t="s">
        <v>312</v>
      </c>
      <c r="P146" s="147">
        <v>150000</v>
      </c>
      <c r="Q146" s="36">
        <v>0</v>
      </c>
      <c r="R146" s="36">
        <v>0</v>
      </c>
      <c r="S146" s="36" t="s">
        <v>313</v>
      </c>
      <c r="T146" s="36" t="s">
        <v>314</v>
      </c>
      <c r="U146" s="11" t="s">
        <v>22</v>
      </c>
      <c r="V146" s="11">
        <v>3846666</v>
      </c>
      <c r="W146" s="11" t="s">
        <v>23</v>
      </c>
      <c r="X146" s="11" t="s">
        <v>27</v>
      </c>
      <c r="Y146" s="11" t="s">
        <v>41</v>
      </c>
      <c r="Z146" s="11"/>
      <c r="AA146" s="153">
        <v>857000</v>
      </c>
      <c r="AB146" s="153">
        <v>535903.80000000005</v>
      </c>
      <c r="AC146" s="155">
        <f t="shared" si="18"/>
        <v>471096.19999999995</v>
      </c>
      <c r="AD146" s="195">
        <v>8023</v>
      </c>
      <c r="AE146" s="224">
        <f>1007000-535903.8</f>
        <v>471096.19999999995</v>
      </c>
      <c r="AF146" s="210">
        <f t="shared" si="19"/>
        <v>0</v>
      </c>
      <c r="AG146" s="241">
        <v>10623</v>
      </c>
      <c r="AH146" s="244">
        <v>45016</v>
      </c>
      <c r="AI146" s="253">
        <v>471096.2</v>
      </c>
      <c r="AJ146" s="240">
        <f t="shared" si="17"/>
        <v>0</v>
      </c>
      <c r="AK146" s="241" t="s">
        <v>506</v>
      </c>
      <c r="AL146" s="241" t="s">
        <v>508</v>
      </c>
      <c r="AM146" s="371">
        <f>52344.02+52344.02+52344.02+52344.02+52344.03+52344.02+2701.85+56996.82</f>
        <v>373762.8</v>
      </c>
      <c r="AN146" s="11" t="s">
        <v>783</v>
      </c>
      <c r="AO146" s="412" t="s">
        <v>998</v>
      </c>
      <c r="AP146" s="402"/>
    </row>
    <row r="147" spans="1:43" ht="116.25" customHeight="1" x14ac:dyDescent="0.2">
      <c r="A147" s="9" t="s">
        <v>42</v>
      </c>
      <c r="B147" s="10" t="s">
        <v>1</v>
      </c>
      <c r="C147" s="10" t="s">
        <v>43</v>
      </c>
      <c r="D147" s="160" t="s">
        <v>17</v>
      </c>
      <c r="E147" s="1" t="s">
        <v>126</v>
      </c>
      <c r="F147" s="1" t="s">
        <v>181</v>
      </c>
      <c r="G147" s="17" t="s">
        <v>1</v>
      </c>
      <c r="H147" s="11" t="s">
        <v>48</v>
      </c>
      <c r="I147" s="11">
        <v>50201706</v>
      </c>
      <c r="J147" s="1">
        <v>3</v>
      </c>
      <c r="K147" s="1">
        <v>3</v>
      </c>
      <c r="L147" s="1">
        <v>9</v>
      </c>
      <c r="M147" s="4">
        <v>1</v>
      </c>
      <c r="N147" s="11" t="s">
        <v>24</v>
      </c>
      <c r="O147" s="13" t="s">
        <v>312</v>
      </c>
      <c r="P147" s="147">
        <v>4500000</v>
      </c>
      <c r="Q147" s="36">
        <v>0</v>
      </c>
      <c r="R147" s="36">
        <v>0</v>
      </c>
      <c r="S147" s="36" t="s">
        <v>313</v>
      </c>
      <c r="T147" s="36" t="s">
        <v>314</v>
      </c>
      <c r="U147" s="11" t="s">
        <v>22</v>
      </c>
      <c r="V147" s="11">
        <v>3846666</v>
      </c>
      <c r="W147" s="11" t="s">
        <v>23</v>
      </c>
      <c r="X147" s="11" t="s">
        <v>27</v>
      </c>
      <c r="Y147" s="11" t="s">
        <v>41</v>
      </c>
      <c r="Z147" s="11"/>
      <c r="AA147" s="11"/>
      <c r="AB147" s="153">
        <f>857000+3643000</f>
        <v>4500000</v>
      </c>
      <c r="AC147" s="155">
        <f t="shared" si="18"/>
        <v>0</v>
      </c>
      <c r="AD147" s="226"/>
      <c r="AE147" s="232"/>
      <c r="AF147" s="225">
        <f t="shared" si="19"/>
        <v>0</v>
      </c>
      <c r="AG147" s="243"/>
      <c r="AH147" s="243"/>
      <c r="AI147" s="254"/>
      <c r="AJ147" s="236">
        <f t="shared" si="17"/>
        <v>0</v>
      </c>
      <c r="AK147" s="243"/>
      <c r="AL147" s="243"/>
      <c r="AM147" s="374"/>
      <c r="AN147" s="13" t="s">
        <v>421</v>
      </c>
      <c r="AQ147" s="402"/>
    </row>
    <row r="148" spans="1:43" ht="116.25" customHeight="1" x14ac:dyDescent="0.2">
      <c r="A148" s="9" t="s">
        <v>49</v>
      </c>
      <c r="B148" s="10" t="s">
        <v>1</v>
      </c>
      <c r="C148" s="10" t="s">
        <v>50</v>
      </c>
      <c r="D148" s="110" t="s">
        <v>51</v>
      </c>
      <c r="E148" s="1" t="s">
        <v>126</v>
      </c>
      <c r="F148" s="1" t="s">
        <v>181</v>
      </c>
      <c r="G148" s="17" t="s">
        <v>1</v>
      </c>
      <c r="H148" s="11" t="s">
        <v>52</v>
      </c>
      <c r="I148" s="11" t="s">
        <v>1</v>
      </c>
      <c r="J148" s="13" t="s">
        <v>53</v>
      </c>
      <c r="K148" s="13" t="s">
        <v>53</v>
      </c>
      <c r="L148" s="13" t="s">
        <v>53</v>
      </c>
      <c r="M148" s="13" t="s">
        <v>53</v>
      </c>
      <c r="N148" s="11" t="s">
        <v>45</v>
      </c>
      <c r="O148" s="13" t="s">
        <v>312</v>
      </c>
      <c r="P148" s="147">
        <v>1100000</v>
      </c>
      <c r="Q148" s="36">
        <v>0</v>
      </c>
      <c r="R148" s="36">
        <v>0</v>
      </c>
      <c r="S148" s="36" t="s">
        <v>313</v>
      </c>
      <c r="T148" s="36" t="s">
        <v>314</v>
      </c>
      <c r="U148" s="11" t="s">
        <v>22</v>
      </c>
      <c r="V148" s="11">
        <v>3846666</v>
      </c>
      <c r="W148" s="11" t="s">
        <v>23</v>
      </c>
      <c r="X148" s="11" t="s">
        <v>46</v>
      </c>
      <c r="Y148" s="11" t="s">
        <v>41</v>
      </c>
      <c r="Z148" s="11"/>
      <c r="AA148" s="11"/>
      <c r="AB148" s="153">
        <f>98332.63+440000</f>
        <v>538332.63</v>
      </c>
      <c r="AC148" s="155">
        <f t="shared" si="18"/>
        <v>561667.37</v>
      </c>
      <c r="AD148" s="223" t="s">
        <v>724</v>
      </c>
      <c r="AE148" s="196">
        <f>110000+104747.37+87300+99960+49660</f>
        <v>451667.37</v>
      </c>
      <c r="AF148" s="210">
        <f>+AC148-AE148</f>
        <v>110000</v>
      </c>
      <c r="AG148" s="245" t="s">
        <v>725</v>
      </c>
      <c r="AH148" s="255" t="s">
        <v>726</v>
      </c>
      <c r="AI148" s="253">
        <f>110000+104747.37+87300+99960+49660</f>
        <v>451667.37</v>
      </c>
      <c r="AJ148" s="240">
        <f>+AC148-AI148</f>
        <v>110000</v>
      </c>
      <c r="AK148" s="245" t="s">
        <v>727</v>
      </c>
      <c r="AL148" s="245" t="s">
        <v>46</v>
      </c>
      <c r="AM148" s="372">
        <f>110000+104747.37+87300+99960+49660</f>
        <v>451667.37</v>
      </c>
      <c r="AN148" s="11" t="s">
        <v>816</v>
      </c>
      <c r="AQ148" s="402"/>
    </row>
    <row r="149" spans="1:43" ht="116.25" customHeight="1" x14ac:dyDescent="0.2">
      <c r="A149" s="9" t="s">
        <v>49</v>
      </c>
      <c r="B149" s="10" t="s">
        <v>1</v>
      </c>
      <c r="C149" s="10" t="s">
        <v>50</v>
      </c>
      <c r="D149" s="110" t="s">
        <v>51</v>
      </c>
      <c r="E149" s="1" t="s">
        <v>126</v>
      </c>
      <c r="F149" s="1" t="s">
        <v>181</v>
      </c>
      <c r="G149" s="17" t="s">
        <v>1</v>
      </c>
      <c r="H149" s="11" t="s">
        <v>54</v>
      </c>
      <c r="I149" s="11" t="s">
        <v>55</v>
      </c>
      <c r="J149" s="11" t="s">
        <v>673</v>
      </c>
      <c r="K149" s="11" t="s">
        <v>673</v>
      </c>
      <c r="L149" s="13">
        <v>1</v>
      </c>
      <c r="M149" s="13">
        <v>1</v>
      </c>
      <c r="N149" s="11" t="s">
        <v>24</v>
      </c>
      <c r="O149" s="13" t="s">
        <v>312</v>
      </c>
      <c r="P149" s="147">
        <v>4300000</v>
      </c>
      <c r="Q149" s="36">
        <v>0</v>
      </c>
      <c r="R149" s="36">
        <v>0</v>
      </c>
      <c r="S149" s="36" t="s">
        <v>313</v>
      </c>
      <c r="T149" s="36" t="s">
        <v>314</v>
      </c>
      <c r="U149" s="11" t="s">
        <v>22</v>
      </c>
      <c r="V149" s="11">
        <v>3846666</v>
      </c>
      <c r="W149" s="11" t="s">
        <v>23</v>
      </c>
      <c r="X149" s="11" t="s">
        <v>56</v>
      </c>
      <c r="Y149" s="11" t="s">
        <v>41</v>
      </c>
      <c r="Z149" s="11"/>
      <c r="AA149" s="11"/>
      <c r="AB149" s="153">
        <f>197000+129668</f>
        <v>326668</v>
      </c>
      <c r="AC149" s="155">
        <f t="shared" si="18"/>
        <v>3973332</v>
      </c>
      <c r="AD149" s="195">
        <v>17923</v>
      </c>
      <c r="AE149" s="196">
        <v>3973332</v>
      </c>
      <c r="AF149" s="210">
        <f t="shared" si="19"/>
        <v>0</v>
      </c>
      <c r="AG149" s="241">
        <v>18823</v>
      </c>
      <c r="AH149" s="244">
        <v>45078</v>
      </c>
      <c r="AI149" s="344">
        <v>3973332</v>
      </c>
      <c r="AJ149" s="240">
        <f t="shared" si="17"/>
        <v>0</v>
      </c>
      <c r="AK149" s="241" t="s">
        <v>651</v>
      </c>
      <c r="AL149" s="245" t="s">
        <v>650</v>
      </c>
      <c r="AM149" s="371">
        <v>3973332</v>
      </c>
      <c r="AN149" s="13" t="s">
        <v>557</v>
      </c>
      <c r="AQ149" s="402"/>
    </row>
    <row r="150" spans="1:43" ht="116.25" customHeight="1" x14ac:dyDescent="0.2">
      <c r="A150" s="9" t="s">
        <v>57</v>
      </c>
      <c r="B150" s="10" t="s">
        <v>1</v>
      </c>
      <c r="C150" s="10" t="s">
        <v>58</v>
      </c>
      <c r="D150" s="110" t="s">
        <v>51</v>
      </c>
      <c r="E150" s="1" t="s">
        <v>126</v>
      </c>
      <c r="F150" s="1" t="s">
        <v>181</v>
      </c>
      <c r="G150" s="17" t="s">
        <v>1</v>
      </c>
      <c r="H150" s="11" t="s">
        <v>59</v>
      </c>
      <c r="I150" s="11">
        <v>44103103</v>
      </c>
      <c r="J150" s="13">
        <v>4</v>
      </c>
      <c r="K150" s="13">
        <v>4</v>
      </c>
      <c r="L150" s="13">
        <v>1</v>
      </c>
      <c r="M150" s="13">
        <v>1</v>
      </c>
      <c r="N150" s="11" t="s">
        <v>24</v>
      </c>
      <c r="O150" s="13" t="s">
        <v>312</v>
      </c>
      <c r="P150" s="147">
        <v>7000000</v>
      </c>
      <c r="Q150" s="36">
        <v>0</v>
      </c>
      <c r="R150" s="36">
        <v>0</v>
      </c>
      <c r="S150" s="36" t="s">
        <v>313</v>
      </c>
      <c r="T150" s="36" t="s">
        <v>314</v>
      </c>
      <c r="U150" s="11" t="s">
        <v>22</v>
      </c>
      <c r="V150" s="11">
        <v>3846666</v>
      </c>
      <c r="W150" s="11" t="s">
        <v>23</v>
      </c>
      <c r="X150" s="11" t="s">
        <v>27</v>
      </c>
      <c r="Y150" s="11" t="s">
        <v>41</v>
      </c>
      <c r="Z150" s="11"/>
      <c r="AA150" s="11"/>
      <c r="AB150" s="153">
        <v>107520</v>
      </c>
      <c r="AC150" s="155">
        <f t="shared" si="18"/>
        <v>6892480</v>
      </c>
      <c r="AD150" s="195">
        <v>17923</v>
      </c>
      <c r="AE150" s="196">
        <v>6892480</v>
      </c>
      <c r="AF150" s="210">
        <f t="shared" si="19"/>
        <v>0</v>
      </c>
      <c r="AG150" s="241">
        <v>18823</v>
      </c>
      <c r="AH150" s="244">
        <v>45078</v>
      </c>
      <c r="AI150" s="344">
        <v>6892480</v>
      </c>
      <c r="AJ150" s="240">
        <f t="shared" si="17"/>
        <v>0</v>
      </c>
      <c r="AK150" s="241" t="s">
        <v>651</v>
      </c>
      <c r="AL150" s="245" t="s">
        <v>650</v>
      </c>
      <c r="AM150" s="371">
        <v>6892480</v>
      </c>
      <c r="AN150" s="13" t="s">
        <v>557</v>
      </c>
      <c r="AQ150" s="402"/>
    </row>
    <row r="151" spans="1:43" ht="116.25" customHeight="1" x14ac:dyDescent="0.2">
      <c r="A151" s="9" t="s">
        <v>60</v>
      </c>
      <c r="B151" s="10" t="s">
        <v>1</v>
      </c>
      <c r="C151" s="10" t="s">
        <v>61</v>
      </c>
      <c r="D151" s="110" t="s">
        <v>51</v>
      </c>
      <c r="E151" s="1" t="s">
        <v>126</v>
      </c>
      <c r="F151" s="1" t="s">
        <v>181</v>
      </c>
      <c r="G151" s="17" t="s">
        <v>1</v>
      </c>
      <c r="H151" s="11" t="s">
        <v>62</v>
      </c>
      <c r="I151" s="11" t="s">
        <v>63</v>
      </c>
      <c r="J151" s="11" t="s">
        <v>673</v>
      </c>
      <c r="K151" s="11" t="s">
        <v>673</v>
      </c>
      <c r="L151" s="13">
        <v>1</v>
      </c>
      <c r="M151" s="13">
        <v>1</v>
      </c>
      <c r="N151" s="11" t="s">
        <v>24</v>
      </c>
      <c r="O151" s="13" t="s">
        <v>312</v>
      </c>
      <c r="P151" s="147">
        <v>500000</v>
      </c>
      <c r="Q151" s="36">
        <v>0</v>
      </c>
      <c r="R151" s="36">
        <v>0</v>
      </c>
      <c r="S151" s="36" t="s">
        <v>313</v>
      </c>
      <c r="T151" s="36" t="s">
        <v>314</v>
      </c>
      <c r="U151" s="11" t="s">
        <v>22</v>
      </c>
      <c r="V151" s="11">
        <v>3846666</v>
      </c>
      <c r="W151" s="11" t="s">
        <v>23</v>
      </c>
      <c r="X151" s="11" t="s">
        <v>27</v>
      </c>
      <c r="Y151" s="11" t="s">
        <v>41</v>
      </c>
      <c r="Z151" s="11"/>
      <c r="AA151" s="153">
        <v>197000</v>
      </c>
      <c r="AB151" s="153">
        <v>388603</v>
      </c>
      <c r="AC151" s="155">
        <f t="shared" si="18"/>
        <v>308397</v>
      </c>
      <c r="AD151" s="195">
        <v>17923</v>
      </c>
      <c r="AE151" s="196">
        <f>312756-4359</f>
        <v>308397</v>
      </c>
      <c r="AF151" s="210">
        <f t="shared" si="19"/>
        <v>0</v>
      </c>
      <c r="AG151" s="241">
        <v>18823</v>
      </c>
      <c r="AH151" s="244">
        <v>45078</v>
      </c>
      <c r="AI151" s="344">
        <v>308397</v>
      </c>
      <c r="AJ151" s="240">
        <f t="shared" si="17"/>
        <v>0</v>
      </c>
      <c r="AK151" s="241" t="s">
        <v>651</v>
      </c>
      <c r="AL151" s="245" t="s">
        <v>650</v>
      </c>
      <c r="AM151" s="371">
        <v>308397</v>
      </c>
      <c r="AN151" s="13" t="s">
        <v>557</v>
      </c>
      <c r="AQ151" s="402"/>
    </row>
    <row r="152" spans="1:43" ht="116.25" customHeight="1" x14ac:dyDescent="0.2">
      <c r="A152" s="9" t="s">
        <v>49</v>
      </c>
      <c r="B152" s="10" t="s">
        <v>1</v>
      </c>
      <c r="C152" s="10" t="s">
        <v>50</v>
      </c>
      <c r="D152" s="110" t="s">
        <v>51</v>
      </c>
      <c r="E152" s="1" t="s">
        <v>126</v>
      </c>
      <c r="F152" s="1" t="s">
        <v>181</v>
      </c>
      <c r="G152" s="17" t="s">
        <v>1</v>
      </c>
      <c r="H152" s="11" t="s">
        <v>64</v>
      </c>
      <c r="I152" s="11" t="s">
        <v>65</v>
      </c>
      <c r="J152" s="1">
        <v>3</v>
      </c>
      <c r="K152" s="1">
        <v>3</v>
      </c>
      <c r="L152" s="1">
        <v>9</v>
      </c>
      <c r="M152" s="13">
        <v>1</v>
      </c>
      <c r="N152" s="11" t="s">
        <v>24</v>
      </c>
      <c r="O152" s="13" t="s">
        <v>312</v>
      </c>
      <c r="P152" s="147">
        <v>4000000</v>
      </c>
      <c r="Q152" s="36">
        <v>0</v>
      </c>
      <c r="R152" s="36">
        <v>0</v>
      </c>
      <c r="S152" s="36" t="s">
        <v>313</v>
      </c>
      <c r="T152" s="36" t="s">
        <v>314</v>
      </c>
      <c r="U152" s="11" t="s">
        <v>22</v>
      </c>
      <c r="V152" s="11">
        <v>3846666</v>
      </c>
      <c r="W152" s="11" t="s">
        <v>23</v>
      </c>
      <c r="X152" s="11" t="s">
        <v>27</v>
      </c>
      <c r="Y152" s="11" t="s">
        <v>41</v>
      </c>
      <c r="Z152" s="11"/>
      <c r="AA152" s="11"/>
      <c r="AB152" s="153">
        <f>3124881+440951.44</f>
        <v>3565832.44</v>
      </c>
      <c r="AC152" s="155">
        <f t="shared" si="18"/>
        <v>434167.56000000006</v>
      </c>
      <c r="AD152" s="195">
        <v>8023</v>
      </c>
      <c r="AE152" s="224">
        <f>875118-440950.44</f>
        <v>434167.56</v>
      </c>
      <c r="AF152" s="210">
        <f t="shared" si="19"/>
        <v>0</v>
      </c>
      <c r="AG152" s="241">
        <v>10623</v>
      </c>
      <c r="AH152" s="244">
        <v>45016</v>
      </c>
      <c r="AI152" s="344">
        <v>434167.56</v>
      </c>
      <c r="AJ152" s="240">
        <f t="shared" si="17"/>
        <v>0</v>
      </c>
      <c r="AK152" s="241" t="s">
        <v>506</v>
      </c>
      <c r="AL152" s="241" t="s">
        <v>508</v>
      </c>
      <c r="AM152" s="371">
        <f>53242.02+47615.69+47615.69+51717.94+27910.1+27550.11</f>
        <v>255651.55</v>
      </c>
      <c r="AN152" s="13" t="s">
        <v>421</v>
      </c>
      <c r="AO152" s="412" t="s">
        <v>998</v>
      </c>
      <c r="AP152" s="402"/>
    </row>
    <row r="153" spans="1:43" ht="116.25" customHeight="1" x14ac:dyDescent="0.2">
      <c r="A153" s="9" t="s">
        <v>66</v>
      </c>
      <c r="B153" s="10" t="s">
        <v>1</v>
      </c>
      <c r="C153" s="10" t="s">
        <v>67</v>
      </c>
      <c r="D153" s="110" t="s">
        <v>51</v>
      </c>
      <c r="E153" s="1" t="s">
        <v>126</v>
      </c>
      <c r="F153" s="1" t="s">
        <v>181</v>
      </c>
      <c r="G153" s="17" t="s">
        <v>1</v>
      </c>
      <c r="H153" s="11" t="s">
        <v>68</v>
      </c>
      <c r="I153" s="11">
        <v>15101505</v>
      </c>
      <c r="J153" s="13">
        <v>1</v>
      </c>
      <c r="K153" s="13">
        <v>1</v>
      </c>
      <c r="L153" s="13">
        <v>12</v>
      </c>
      <c r="M153" s="13">
        <v>1</v>
      </c>
      <c r="N153" s="11" t="s">
        <v>24</v>
      </c>
      <c r="O153" s="13" t="s">
        <v>312</v>
      </c>
      <c r="P153" s="147">
        <f>300000*12</f>
        <v>3600000</v>
      </c>
      <c r="Q153" s="36">
        <v>0</v>
      </c>
      <c r="R153" s="36">
        <v>0</v>
      </c>
      <c r="S153" s="36" t="s">
        <v>313</v>
      </c>
      <c r="T153" s="36" t="s">
        <v>314</v>
      </c>
      <c r="U153" s="11" t="s">
        <v>22</v>
      </c>
      <c r="V153" s="11">
        <v>3846666</v>
      </c>
      <c r="W153" s="11" t="s">
        <v>23</v>
      </c>
      <c r="X153" s="11" t="s">
        <v>27</v>
      </c>
      <c r="Y153" s="11" t="s">
        <v>41</v>
      </c>
      <c r="Z153" s="11"/>
      <c r="AA153" s="11"/>
      <c r="AB153" s="153">
        <v>569952</v>
      </c>
      <c r="AC153" s="155">
        <f t="shared" si="18"/>
        <v>3030048</v>
      </c>
      <c r="AD153" s="195">
        <v>523</v>
      </c>
      <c r="AE153" s="196">
        <v>3030048</v>
      </c>
      <c r="AF153" s="210">
        <f t="shared" si="19"/>
        <v>0</v>
      </c>
      <c r="AG153" s="241">
        <v>523</v>
      </c>
      <c r="AH153" s="244">
        <v>44573</v>
      </c>
      <c r="AI153" s="344">
        <v>3030048</v>
      </c>
      <c r="AJ153" s="240">
        <f t="shared" si="17"/>
        <v>0</v>
      </c>
      <c r="AK153" s="241" t="s">
        <v>415</v>
      </c>
      <c r="AL153" s="245" t="s">
        <v>416</v>
      </c>
      <c r="AM153" s="371">
        <f>191871+199246+250228+159204+258600+233222+105596+129400+79199+94999</f>
        <v>1701565</v>
      </c>
      <c r="AN153" s="13" t="s">
        <v>557</v>
      </c>
      <c r="AQ153" s="402"/>
    </row>
    <row r="154" spans="1:43" ht="116.25" customHeight="1" x14ac:dyDescent="0.2">
      <c r="A154" s="9" t="s">
        <v>57</v>
      </c>
      <c r="B154" s="10" t="s">
        <v>1</v>
      </c>
      <c r="C154" s="10" t="s">
        <v>58</v>
      </c>
      <c r="D154" s="110" t="s">
        <v>51</v>
      </c>
      <c r="E154" s="1" t="s">
        <v>126</v>
      </c>
      <c r="F154" s="1" t="s">
        <v>181</v>
      </c>
      <c r="G154" s="17" t="s">
        <v>1</v>
      </c>
      <c r="H154" s="11" t="s">
        <v>69</v>
      </c>
      <c r="I154" s="11">
        <v>12352104</v>
      </c>
      <c r="J154" s="1">
        <v>3</v>
      </c>
      <c r="K154" s="1">
        <v>3</v>
      </c>
      <c r="L154" s="1">
        <v>9</v>
      </c>
      <c r="M154" s="13">
        <v>1</v>
      </c>
      <c r="N154" s="11" t="s">
        <v>24</v>
      </c>
      <c r="O154" s="13" t="s">
        <v>312</v>
      </c>
      <c r="P154" s="147">
        <v>120000</v>
      </c>
      <c r="Q154" s="36">
        <v>0</v>
      </c>
      <c r="R154" s="36">
        <v>0</v>
      </c>
      <c r="S154" s="36" t="s">
        <v>313</v>
      </c>
      <c r="T154" s="36" t="s">
        <v>314</v>
      </c>
      <c r="U154" s="11" t="s">
        <v>22</v>
      </c>
      <c r="V154" s="11">
        <v>3846666</v>
      </c>
      <c r="W154" s="11" t="s">
        <v>23</v>
      </c>
      <c r="X154" s="11" t="s">
        <v>27</v>
      </c>
      <c r="Y154" s="11" t="s">
        <v>41</v>
      </c>
      <c r="Z154" s="11"/>
      <c r="AA154" s="11"/>
      <c r="AB154" s="153">
        <f>89071+11977.9</f>
        <v>101048.9</v>
      </c>
      <c r="AC154" s="155">
        <f t="shared" si="18"/>
        <v>18951.100000000006</v>
      </c>
      <c r="AD154" s="195">
        <v>8023</v>
      </c>
      <c r="AE154" s="224">
        <f>30929-11977.9</f>
        <v>18951.099999999999</v>
      </c>
      <c r="AF154" s="210">
        <f t="shared" si="19"/>
        <v>0</v>
      </c>
      <c r="AG154" s="241">
        <v>10623</v>
      </c>
      <c r="AH154" s="244">
        <v>45016</v>
      </c>
      <c r="AI154" s="344">
        <v>18951.099999999999</v>
      </c>
      <c r="AJ154" s="240">
        <f t="shared" si="17"/>
        <v>0</v>
      </c>
      <c r="AK154" s="241" t="s">
        <v>506</v>
      </c>
      <c r="AL154" s="241" t="s">
        <v>508</v>
      </c>
      <c r="AM154" s="371">
        <f>2105.68+2105.68+2105.68+2105.67+2105.67+2105.67+2105.67+2105.67+2105.67+0.5-0.46</f>
        <v>18951.099999999999</v>
      </c>
      <c r="AN154" s="13" t="s">
        <v>560</v>
      </c>
      <c r="AP154" s="402"/>
    </row>
    <row r="155" spans="1:43" ht="116.25" customHeight="1" x14ac:dyDescent="0.2">
      <c r="A155" s="9" t="s">
        <v>57</v>
      </c>
      <c r="B155" s="10" t="s">
        <v>1</v>
      </c>
      <c r="C155" s="10" t="s">
        <v>58</v>
      </c>
      <c r="D155" s="110" t="s">
        <v>51</v>
      </c>
      <c r="E155" s="1" t="s">
        <v>126</v>
      </c>
      <c r="F155" s="1" t="s">
        <v>181</v>
      </c>
      <c r="G155" s="17" t="s">
        <v>1</v>
      </c>
      <c r="H155" s="11" t="s">
        <v>70</v>
      </c>
      <c r="I155" s="11">
        <v>47131700</v>
      </c>
      <c r="J155" s="1">
        <v>3</v>
      </c>
      <c r="K155" s="1">
        <v>3</v>
      </c>
      <c r="L155" s="1">
        <v>9</v>
      </c>
      <c r="M155" s="13">
        <v>1</v>
      </c>
      <c r="N155" s="11" t="s">
        <v>24</v>
      </c>
      <c r="O155" s="13" t="s">
        <v>312</v>
      </c>
      <c r="P155" s="147">
        <v>225000</v>
      </c>
      <c r="Q155" s="36">
        <v>0</v>
      </c>
      <c r="R155" s="36">
        <v>0</v>
      </c>
      <c r="S155" s="36" t="s">
        <v>313</v>
      </c>
      <c r="T155" s="36" t="s">
        <v>314</v>
      </c>
      <c r="U155" s="11" t="s">
        <v>22</v>
      </c>
      <c r="V155" s="11">
        <v>3846666</v>
      </c>
      <c r="W155" s="11" t="s">
        <v>23</v>
      </c>
      <c r="X155" s="11" t="s">
        <v>27</v>
      </c>
      <c r="Y155" s="11" t="s">
        <v>41</v>
      </c>
      <c r="Z155" s="11"/>
      <c r="AA155" s="11"/>
      <c r="AB155" s="153">
        <f>215150+8233.6</f>
        <v>223383.6</v>
      </c>
      <c r="AC155" s="155">
        <f t="shared" si="18"/>
        <v>1616.3999999999942</v>
      </c>
      <c r="AD155" s="195">
        <v>8023</v>
      </c>
      <c r="AE155" s="224">
        <f>9850-8233.6</f>
        <v>1616.3999999999996</v>
      </c>
      <c r="AF155" s="210">
        <f>+AE155-AC155</f>
        <v>5.4569682106375694E-12</v>
      </c>
      <c r="AG155" s="241">
        <v>10623</v>
      </c>
      <c r="AH155" s="244">
        <v>45016</v>
      </c>
      <c r="AI155" s="344">
        <v>1616.4</v>
      </c>
      <c r="AJ155" s="240">
        <f t="shared" si="17"/>
        <v>-5.9117155615240335E-12</v>
      </c>
      <c r="AK155" s="241" t="s">
        <v>506</v>
      </c>
      <c r="AL155" s="241" t="s">
        <v>508</v>
      </c>
      <c r="AM155" s="371">
        <f>179.6+179.6+179.6+179.6+179.6+179.6+179.6+179.6+179.6</f>
        <v>1616.3999999999996</v>
      </c>
      <c r="AN155" s="13" t="s">
        <v>560</v>
      </c>
      <c r="AP155" s="402"/>
    </row>
    <row r="156" spans="1:43" ht="116.25" customHeight="1" x14ac:dyDescent="0.2">
      <c r="A156" s="9" t="s">
        <v>57</v>
      </c>
      <c r="B156" s="10" t="s">
        <v>1</v>
      </c>
      <c r="C156" s="10" t="s">
        <v>58</v>
      </c>
      <c r="D156" s="110" t="s">
        <v>51</v>
      </c>
      <c r="E156" s="1" t="s">
        <v>126</v>
      </c>
      <c r="F156" s="1" t="s">
        <v>181</v>
      </c>
      <c r="G156" s="17" t="s">
        <v>1</v>
      </c>
      <c r="H156" s="11" t="s">
        <v>71</v>
      </c>
      <c r="I156" s="11">
        <v>47131800</v>
      </c>
      <c r="J156" s="1">
        <v>3</v>
      </c>
      <c r="K156" s="1">
        <v>3</v>
      </c>
      <c r="L156" s="1">
        <v>9</v>
      </c>
      <c r="M156" s="13">
        <v>1</v>
      </c>
      <c r="N156" s="11" t="s">
        <v>24</v>
      </c>
      <c r="O156" s="13" t="s">
        <v>312</v>
      </c>
      <c r="P156" s="147">
        <v>900000</v>
      </c>
      <c r="Q156" s="36">
        <v>0</v>
      </c>
      <c r="R156" s="36">
        <v>0</v>
      </c>
      <c r="S156" s="36" t="s">
        <v>313</v>
      </c>
      <c r="T156" s="36" t="s">
        <v>314</v>
      </c>
      <c r="U156" s="11" t="s">
        <v>22</v>
      </c>
      <c r="V156" s="11">
        <v>3846666</v>
      </c>
      <c r="W156" s="11" t="s">
        <v>23</v>
      </c>
      <c r="X156" s="11" t="s">
        <v>27</v>
      </c>
      <c r="Y156" s="11" t="s">
        <v>41</v>
      </c>
      <c r="Z156" s="11"/>
      <c r="AA156" s="11"/>
      <c r="AB156" s="153">
        <f>530686+168760.11</f>
        <v>699446.11</v>
      </c>
      <c r="AC156" s="155">
        <f t="shared" si="18"/>
        <v>200553.89</v>
      </c>
      <c r="AD156" s="195">
        <v>8023</v>
      </c>
      <c r="AE156" s="224">
        <f>369314-168760.11</f>
        <v>200553.89</v>
      </c>
      <c r="AF156" s="210">
        <f t="shared" si="19"/>
        <v>0</v>
      </c>
      <c r="AG156" s="241">
        <v>10623</v>
      </c>
      <c r="AH156" s="244">
        <v>45016</v>
      </c>
      <c r="AI156" s="344">
        <v>200553.89</v>
      </c>
      <c r="AJ156" s="240">
        <f t="shared" si="17"/>
        <v>0</v>
      </c>
      <c r="AK156" s="241" t="s">
        <v>506</v>
      </c>
      <c r="AL156" s="241" t="s">
        <v>508</v>
      </c>
      <c r="AM156" s="371">
        <f>18771.5+3512.26+400.01+22283.77+29765.68+27480.4+27480.4+27840.4+27840.4+15179.07</f>
        <v>200553.88999999998</v>
      </c>
      <c r="AN156" s="13" t="s">
        <v>560</v>
      </c>
      <c r="AP156" s="402">
        <f>AI156-AM156</f>
        <v>0</v>
      </c>
    </row>
    <row r="157" spans="1:43" ht="116.25" customHeight="1" x14ac:dyDescent="0.2">
      <c r="A157" s="9" t="s">
        <v>60</v>
      </c>
      <c r="B157" s="10" t="s">
        <v>1</v>
      </c>
      <c r="C157" s="10" t="s">
        <v>61</v>
      </c>
      <c r="D157" s="110" t="s">
        <v>51</v>
      </c>
      <c r="E157" s="1" t="s">
        <v>126</v>
      </c>
      <c r="F157" s="1" t="s">
        <v>181</v>
      </c>
      <c r="G157" s="17" t="s">
        <v>1</v>
      </c>
      <c r="H157" s="11" t="s">
        <v>72</v>
      </c>
      <c r="I157" s="11" t="s">
        <v>73</v>
      </c>
      <c r="J157" s="1">
        <v>3</v>
      </c>
      <c r="K157" s="1">
        <v>3</v>
      </c>
      <c r="L157" s="1">
        <v>9</v>
      </c>
      <c r="M157" s="13">
        <v>1</v>
      </c>
      <c r="N157" s="11" t="s">
        <v>24</v>
      </c>
      <c r="O157" s="13" t="s">
        <v>312</v>
      </c>
      <c r="P157" s="147">
        <v>700000</v>
      </c>
      <c r="Q157" s="36">
        <v>0</v>
      </c>
      <c r="R157" s="36">
        <v>0</v>
      </c>
      <c r="S157" s="36" t="s">
        <v>313</v>
      </c>
      <c r="T157" s="36" t="s">
        <v>314</v>
      </c>
      <c r="U157" s="11" t="s">
        <v>22</v>
      </c>
      <c r="V157" s="11">
        <v>3846666</v>
      </c>
      <c r="W157" s="11" t="s">
        <v>23</v>
      </c>
      <c r="X157" s="11" t="s">
        <v>27</v>
      </c>
      <c r="Y157" s="11" t="s">
        <v>41</v>
      </c>
      <c r="Z157" s="11"/>
      <c r="AA157" s="11"/>
      <c r="AB157" s="153">
        <f>293916+257032.39</f>
        <v>550948.39</v>
      </c>
      <c r="AC157" s="155">
        <f t="shared" si="18"/>
        <v>149051.60999999999</v>
      </c>
      <c r="AD157" s="195">
        <v>8023</v>
      </c>
      <c r="AE157" s="224">
        <f>406084-257032.39</f>
        <v>149051.60999999999</v>
      </c>
      <c r="AF157" s="210">
        <f t="shared" si="19"/>
        <v>0</v>
      </c>
      <c r="AG157" s="241">
        <v>10623</v>
      </c>
      <c r="AH157" s="244">
        <v>45016</v>
      </c>
      <c r="AI157" s="344">
        <v>149051.60999999999</v>
      </c>
      <c r="AJ157" s="240">
        <f t="shared" si="17"/>
        <v>0</v>
      </c>
      <c r="AK157" s="241" t="s">
        <v>506</v>
      </c>
      <c r="AL157" s="241" t="s">
        <v>508</v>
      </c>
      <c r="AM157" s="371">
        <f>67651.1+10175.07+10175.07+10175.07+8463+8463+8463+8463+8463+8463+97.3</f>
        <v>149051.61000000002</v>
      </c>
      <c r="AN157" s="13" t="s">
        <v>560</v>
      </c>
      <c r="AP157" s="402">
        <f>AI157-AM157</f>
        <v>0</v>
      </c>
    </row>
    <row r="158" spans="1:43" ht="116.25" customHeight="1" x14ac:dyDescent="0.2">
      <c r="A158" s="9" t="s">
        <v>74</v>
      </c>
      <c r="B158" s="10" t="s">
        <v>1</v>
      </c>
      <c r="C158" s="10" t="s">
        <v>75</v>
      </c>
      <c r="D158" s="161" t="s">
        <v>76</v>
      </c>
      <c r="E158" s="1" t="s">
        <v>126</v>
      </c>
      <c r="F158" s="1" t="s">
        <v>181</v>
      </c>
      <c r="G158" s="17" t="s">
        <v>1</v>
      </c>
      <c r="H158" s="11" t="s">
        <v>77</v>
      </c>
      <c r="I158" s="11" t="s">
        <v>1</v>
      </c>
      <c r="J158" s="13" t="s">
        <v>53</v>
      </c>
      <c r="K158" s="13" t="s">
        <v>53</v>
      </c>
      <c r="L158" s="13" t="s">
        <v>53</v>
      </c>
      <c r="M158" s="13" t="s">
        <v>53</v>
      </c>
      <c r="N158" s="11" t="s">
        <v>45</v>
      </c>
      <c r="O158" s="13" t="s">
        <v>312</v>
      </c>
      <c r="P158" s="147">
        <v>1200000</v>
      </c>
      <c r="Q158" s="36">
        <v>0</v>
      </c>
      <c r="R158" s="36">
        <v>0</v>
      </c>
      <c r="S158" s="36" t="s">
        <v>313</v>
      </c>
      <c r="T158" s="36" t="s">
        <v>314</v>
      </c>
      <c r="U158" s="11" t="s">
        <v>22</v>
      </c>
      <c r="V158" s="11">
        <v>3846666</v>
      </c>
      <c r="W158" s="11" t="s">
        <v>23</v>
      </c>
      <c r="X158" s="11" t="s">
        <v>46</v>
      </c>
      <c r="Y158" s="11" t="s">
        <v>41</v>
      </c>
      <c r="Z158" s="11"/>
      <c r="AA158" s="11"/>
      <c r="AB158" s="153">
        <f>220400+480000</f>
        <v>700400</v>
      </c>
      <c r="AC158" s="155">
        <f t="shared" si="18"/>
        <v>499600</v>
      </c>
      <c r="AD158" s="223" t="s">
        <v>755</v>
      </c>
      <c r="AE158" s="196">
        <f>120000+29500+118000+35400+53100+23600</f>
        <v>379600</v>
      </c>
      <c r="AF158" s="210">
        <f t="shared" si="19"/>
        <v>120000</v>
      </c>
      <c r="AG158" s="245" t="s">
        <v>756</v>
      </c>
      <c r="AH158" s="255" t="s">
        <v>757</v>
      </c>
      <c r="AI158" s="240">
        <f>120000+29500+118000+35400+53100+23600</f>
        <v>379600</v>
      </c>
      <c r="AJ158" s="240">
        <f t="shared" si="17"/>
        <v>120000</v>
      </c>
      <c r="AK158" s="245" t="s">
        <v>758</v>
      </c>
      <c r="AL158" s="245" t="s">
        <v>46</v>
      </c>
      <c r="AM158" s="375">
        <f>120000+29500+118000+35400+53100+23600</f>
        <v>379600</v>
      </c>
      <c r="AN158" s="11" t="s">
        <v>816</v>
      </c>
      <c r="AQ158" s="402"/>
    </row>
    <row r="159" spans="1:43" ht="116.25" customHeight="1" x14ac:dyDescent="0.2">
      <c r="A159" s="9" t="s">
        <v>78</v>
      </c>
      <c r="B159" s="10" t="s">
        <v>1</v>
      </c>
      <c r="C159" s="10" t="s">
        <v>79</v>
      </c>
      <c r="D159" s="161" t="s">
        <v>76</v>
      </c>
      <c r="E159" s="1" t="s">
        <v>126</v>
      </c>
      <c r="F159" s="1" t="s">
        <v>181</v>
      </c>
      <c r="G159" s="17" t="s">
        <v>1</v>
      </c>
      <c r="H159" s="11" t="s">
        <v>80</v>
      </c>
      <c r="I159" s="11" t="s">
        <v>1</v>
      </c>
      <c r="J159" s="13" t="s">
        <v>53</v>
      </c>
      <c r="K159" s="13" t="s">
        <v>53</v>
      </c>
      <c r="L159" s="13" t="s">
        <v>53</v>
      </c>
      <c r="M159" s="13" t="s">
        <v>53</v>
      </c>
      <c r="N159" s="11" t="s">
        <v>45</v>
      </c>
      <c r="O159" s="13" t="s">
        <v>312</v>
      </c>
      <c r="P159" s="147">
        <v>34837262</v>
      </c>
      <c r="Q159" s="36">
        <v>0</v>
      </c>
      <c r="R159" s="36">
        <v>0</v>
      </c>
      <c r="S159" s="36" t="s">
        <v>313</v>
      </c>
      <c r="T159" s="36" t="s">
        <v>314</v>
      </c>
      <c r="U159" s="11" t="s">
        <v>22</v>
      </c>
      <c r="V159" s="11">
        <v>3846666</v>
      </c>
      <c r="W159" s="11" t="s">
        <v>23</v>
      </c>
      <c r="X159" s="11" t="s">
        <v>26</v>
      </c>
      <c r="Y159" s="11" t="s">
        <v>41</v>
      </c>
      <c r="Z159" s="11"/>
      <c r="AA159" s="153">
        <f>9277351.57+1348286+1818495+1809310</f>
        <v>14253442.57</v>
      </c>
      <c r="AB159" s="153">
        <f>806837</f>
        <v>806837</v>
      </c>
      <c r="AC159" s="155">
        <f t="shared" si="18"/>
        <v>48283867.57</v>
      </c>
      <c r="AD159" s="223" t="s">
        <v>922</v>
      </c>
      <c r="AE159" s="196">
        <f>3618580+4094090+4346140+4132810+4603170+4541880+4244370+1586540+3495418+4602264+5773160+3245445</f>
        <v>48283867</v>
      </c>
      <c r="AF159" s="210">
        <f t="shared" si="19"/>
        <v>0.57000000029802322</v>
      </c>
      <c r="AG159" s="245" t="s">
        <v>923</v>
      </c>
      <c r="AH159" s="255" t="s">
        <v>924</v>
      </c>
      <c r="AI159" s="196">
        <f>3618580+4094090+4346140+4132810+4603170+4541880+4244370+1586540+3495418+4602264+5773160+3245445</f>
        <v>48283867</v>
      </c>
      <c r="AJ159" s="240">
        <f t="shared" si="17"/>
        <v>0.57000000029802322</v>
      </c>
      <c r="AK159" s="241" t="s">
        <v>53</v>
      </c>
      <c r="AL159" s="245" t="s">
        <v>472</v>
      </c>
      <c r="AM159" s="196">
        <f>3618580+4094090+4346140+4132810+4603170+4541880+4244370+1586540+3495418+4602264+5773160+3245445</f>
        <v>48283867</v>
      </c>
      <c r="AN159" s="11" t="s">
        <v>835</v>
      </c>
      <c r="AQ159" s="402"/>
    </row>
    <row r="160" spans="1:43" ht="116.25" customHeight="1" x14ac:dyDescent="0.2">
      <c r="A160" s="9" t="s">
        <v>78</v>
      </c>
      <c r="B160" s="10" t="s">
        <v>1</v>
      </c>
      <c r="C160" s="10" t="s">
        <v>79</v>
      </c>
      <c r="D160" s="161" t="s">
        <v>76</v>
      </c>
      <c r="E160" s="1" t="s">
        <v>126</v>
      </c>
      <c r="F160" s="1" t="s">
        <v>181</v>
      </c>
      <c r="G160" s="17" t="s">
        <v>1</v>
      </c>
      <c r="H160" s="11" t="s">
        <v>80</v>
      </c>
      <c r="I160" s="11" t="s">
        <v>1</v>
      </c>
      <c r="J160" s="13" t="s">
        <v>53</v>
      </c>
      <c r="K160" s="13" t="s">
        <v>53</v>
      </c>
      <c r="L160" s="13" t="s">
        <v>53</v>
      </c>
      <c r="M160" s="13" t="s">
        <v>53</v>
      </c>
      <c r="N160" s="11" t="s">
        <v>45</v>
      </c>
      <c r="O160" s="13" t="s">
        <v>385</v>
      </c>
      <c r="P160" s="147">
        <v>15000000</v>
      </c>
      <c r="Q160" s="36">
        <v>0</v>
      </c>
      <c r="R160" s="36">
        <v>0</v>
      </c>
      <c r="S160" s="36" t="s">
        <v>313</v>
      </c>
      <c r="T160" s="36" t="s">
        <v>314</v>
      </c>
      <c r="U160" s="11" t="s">
        <v>22</v>
      </c>
      <c r="V160" s="11">
        <v>3846666</v>
      </c>
      <c r="W160" s="11" t="s">
        <v>23</v>
      </c>
      <c r="X160" s="11" t="s">
        <v>26</v>
      </c>
      <c r="Y160" s="11" t="s">
        <v>41</v>
      </c>
      <c r="Z160" s="11"/>
      <c r="AA160" s="153">
        <v>2933540</v>
      </c>
      <c r="AB160" s="153">
        <v>12000000</v>
      </c>
      <c r="AC160" s="155">
        <f t="shared" si="18"/>
        <v>5933540</v>
      </c>
      <c r="AD160" s="195" t="s">
        <v>925</v>
      </c>
      <c r="AE160" s="196">
        <f>49002+214276+1687565</f>
        <v>1950843</v>
      </c>
      <c r="AF160" s="210">
        <f t="shared" si="19"/>
        <v>3982697</v>
      </c>
      <c r="AG160" s="241" t="s">
        <v>926</v>
      </c>
      <c r="AH160" s="255" t="s">
        <v>927</v>
      </c>
      <c r="AI160" s="196">
        <f>49002+214276+1687565</f>
        <v>1950843</v>
      </c>
      <c r="AJ160" s="240">
        <f t="shared" si="17"/>
        <v>3982697</v>
      </c>
      <c r="AK160" s="241" t="s">
        <v>53</v>
      </c>
      <c r="AL160" s="245" t="s">
        <v>472</v>
      </c>
      <c r="AM160" s="196">
        <f>49002+214276+1687565</f>
        <v>1950843</v>
      </c>
      <c r="AN160" s="13" t="s">
        <v>421</v>
      </c>
      <c r="AQ160" s="402"/>
    </row>
    <row r="161" spans="1:44" ht="116.25" customHeight="1" x14ac:dyDescent="0.2">
      <c r="A161" s="9" t="s">
        <v>78</v>
      </c>
      <c r="B161" s="10" t="s">
        <v>1</v>
      </c>
      <c r="C161" s="10" t="s">
        <v>79</v>
      </c>
      <c r="D161" s="161" t="s">
        <v>76</v>
      </c>
      <c r="E161" s="1" t="s">
        <v>126</v>
      </c>
      <c r="F161" s="1" t="s">
        <v>181</v>
      </c>
      <c r="G161" s="17" t="s">
        <v>1</v>
      </c>
      <c r="H161" s="11" t="s">
        <v>81</v>
      </c>
      <c r="I161" s="11" t="s">
        <v>1</v>
      </c>
      <c r="J161" s="13" t="s">
        <v>53</v>
      </c>
      <c r="K161" s="13" t="s">
        <v>53</v>
      </c>
      <c r="L161" s="13" t="s">
        <v>53</v>
      </c>
      <c r="M161" s="13" t="s">
        <v>53</v>
      </c>
      <c r="N161" s="11" t="s">
        <v>45</v>
      </c>
      <c r="O161" s="13" t="s">
        <v>312</v>
      </c>
      <c r="P161" s="147">
        <v>3500000</v>
      </c>
      <c r="Q161" s="36">
        <v>0</v>
      </c>
      <c r="R161" s="36">
        <v>0</v>
      </c>
      <c r="S161" s="36" t="s">
        <v>313</v>
      </c>
      <c r="T161" s="36" t="s">
        <v>314</v>
      </c>
      <c r="U161" s="11" t="s">
        <v>22</v>
      </c>
      <c r="V161" s="11">
        <v>3846666</v>
      </c>
      <c r="W161" s="11" t="s">
        <v>23</v>
      </c>
      <c r="X161" s="11" t="s">
        <v>26</v>
      </c>
      <c r="Y161" s="11" t="s">
        <v>41</v>
      </c>
      <c r="Z161" s="11"/>
      <c r="AA161" s="153">
        <f>320000+581010+2719720</f>
        <v>3620730</v>
      </c>
      <c r="AB161" s="153"/>
      <c r="AC161" s="155">
        <f t="shared" si="18"/>
        <v>7120730</v>
      </c>
      <c r="AD161" s="223" t="s">
        <v>968</v>
      </c>
      <c r="AE161" s="196">
        <f>128530+383870+529940+466980+288710+257770+230660+531010+1069720+313020+306220</f>
        <v>4506430</v>
      </c>
      <c r="AF161" s="210">
        <f t="shared" si="19"/>
        <v>2614300</v>
      </c>
      <c r="AG161" s="245" t="s">
        <v>996</v>
      </c>
      <c r="AH161" s="255" t="s">
        <v>997</v>
      </c>
      <c r="AI161" s="384">
        <f>128530+383870+529940+466980+288710+257770+230660+531010+1069720+313020+306220</f>
        <v>4506430</v>
      </c>
      <c r="AJ161" s="240">
        <f t="shared" si="17"/>
        <v>2614300</v>
      </c>
      <c r="AK161" s="241" t="s">
        <v>53</v>
      </c>
      <c r="AL161" s="245" t="s">
        <v>473</v>
      </c>
      <c r="AM161" s="384">
        <f>128530+383870+529940+466980+288710+257770+230660+531010+1069720+313020+306220</f>
        <v>4506430</v>
      </c>
      <c r="AN161" s="11" t="s">
        <v>816</v>
      </c>
      <c r="AQ161" s="402"/>
    </row>
    <row r="162" spans="1:44" ht="116.25" customHeight="1" x14ac:dyDescent="0.2">
      <c r="A162" s="9" t="s">
        <v>78</v>
      </c>
      <c r="B162" s="10" t="s">
        <v>1</v>
      </c>
      <c r="C162" s="10" t="s">
        <v>79</v>
      </c>
      <c r="D162" s="161" t="s">
        <v>76</v>
      </c>
      <c r="E162" s="1" t="s">
        <v>126</v>
      </c>
      <c r="F162" s="1" t="s">
        <v>181</v>
      </c>
      <c r="G162" s="17" t="s">
        <v>1</v>
      </c>
      <c r="H162" s="11" t="s">
        <v>81</v>
      </c>
      <c r="I162" s="11" t="s">
        <v>1</v>
      </c>
      <c r="J162" s="13" t="s">
        <v>53</v>
      </c>
      <c r="K162" s="13" t="s">
        <v>53</v>
      </c>
      <c r="L162" s="13" t="s">
        <v>53</v>
      </c>
      <c r="M162" s="13" t="s">
        <v>53</v>
      </c>
      <c r="N162" s="11" t="s">
        <v>45</v>
      </c>
      <c r="O162" s="13" t="s">
        <v>385</v>
      </c>
      <c r="P162" s="147">
        <v>3000000</v>
      </c>
      <c r="Q162" s="36">
        <v>0</v>
      </c>
      <c r="R162" s="36">
        <v>0</v>
      </c>
      <c r="S162" s="36" t="s">
        <v>313</v>
      </c>
      <c r="T162" s="36" t="s">
        <v>314</v>
      </c>
      <c r="U162" s="11" t="s">
        <v>22</v>
      </c>
      <c r="V162" s="11">
        <v>3846666</v>
      </c>
      <c r="W162" s="11" t="s">
        <v>23</v>
      </c>
      <c r="X162" s="11" t="s">
        <v>26</v>
      </c>
      <c r="Y162" s="11" t="s">
        <v>41</v>
      </c>
      <c r="Z162" s="11"/>
      <c r="AA162" s="153"/>
      <c r="AB162" s="153">
        <v>2933540</v>
      </c>
      <c r="AC162" s="155">
        <f t="shared" si="18"/>
        <v>66460</v>
      </c>
      <c r="AD162" s="226"/>
      <c r="AE162" s="232"/>
      <c r="AF162" s="225">
        <f t="shared" si="19"/>
        <v>66460</v>
      </c>
      <c r="AG162" s="243"/>
      <c r="AH162" s="243"/>
      <c r="AI162" s="345"/>
      <c r="AJ162" s="236">
        <f t="shared" si="17"/>
        <v>66460</v>
      </c>
      <c r="AK162" s="243"/>
      <c r="AL162" s="243"/>
      <c r="AM162" s="374"/>
      <c r="AN162" s="12"/>
      <c r="AQ162" s="402"/>
    </row>
    <row r="163" spans="1:44" ht="116.25" customHeight="1" x14ac:dyDescent="0.2">
      <c r="A163" s="9" t="s">
        <v>82</v>
      </c>
      <c r="B163" s="10" t="s">
        <v>1</v>
      </c>
      <c r="C163" s="10" t="s">
        <v>83</v>
      </c>
      <c r="D163" s="162" t="s">
        <v>84</v>
      </c>
      <c r="E163" s="1" t="s">
        <v>126</v>
      </c>
      <c r="F163" s="1" t="s">
        <v>181</v>
      </c>
      <c r="G163" s="17" t="s">
        <v>1</v>
      </c>
      <c r="H163" s="11" t="s">
        <v>85</v>
      </c>
      <c r="I163" s="11">
        <v>84131501</v>
      </c>
      <c r="J163" s="13">
        <v>11</v>
      </c>
      <c r="K163" s="13">
        <v>11</v>
      </c>
      <c r="L163" s="13">
        <v>2</v>
      </c>
      <c r="M163" s="13">
        <v>1</v>
      </c>
      <c r="N163" s="11" t="s">
        <v>86</v>
      </c>
      <c r="O163" s="13" t="s">
        <v>312</v>
      </c>
      <c r="P163" s="147">
        <v>6000000</v>
      </c>
      <c r="Q163" s="36">
        <v>0</v>
      </c>
      <c r="R163" s="36">
        <v>0</v>
      </c>
      <c r="S163" s="36" t="s">
        <v>313</v>
      </c>
      <c r="T163" s="36" t="s">
        <v>314</v>
      </c>
      <c r="U163" s="11" t="s">
        <v>22</v>
      </c>
      <c r="V163" s="11">
        <v>3846666</v>
      </c>
      <c r="W163" s="11" t="s">
        <v>23</v>
      </c>
      <c r="X163" s="11" t="s">
        <v>26</v>
      </c>
      <c r="Y163" s="11" t="s">
        <v>41</v>
      </c>
      <c r="Z163" s="11"/>
      <c r="AA163" s="11"/>
      <c r="AB163" s="153">
        <f>5000000+1000000</f>
        <v>6000000</v>
      </c>
      <c r="AC163" s="155">
        <f t="shared" si="18"/>
        <v>0</v>
      </c>
      <c r="AD163" s="226"/>
      <c r="AE163" s="232"/>
      <c r="AF163" s="225">
        <f t="shared" si="19"/>
        <v>0</v>
      </c>
      <c r="AG163" s="243"/>
      <c r="AH163" s="243"/>
      <c r="AI163" s="345"/>
      <c r="AJ163" s="236">
        <f t="shared" si="17"/>
        <v>0</v>
      </c>
      <c r="AK163" s="243"/>
      <c r="AL163" s="243"/>
      <c r="AM163" s="374"/>
      <c r="AN163" s="11" t="s">
        <v>816</v>
      </c>
      <c r="AQ163" s="402"/>
    </row>
    <row r="164" spans="1:44" ht="116.25" customHeight="1" x14ac:dyDescent="0.2">
      <c r="A164" s="9" t="s">
        <v>82</v>
      </c>
      <c r="B164" s="10" t="s">
        <v>1</v>
      </c>
      <c r="C164" s="10" t="s">
        <v>83</v>
      </c>
      <c r="D164" s="162" t="s">
        <v>84</v>
      </c>
      <c r="E164" s="1" t="s">
        <v>126</v>
      </c>
      <c r="F164" s="1" t="s">
        <v>181</v>
      </c>
      <c r="G164" s="17" t="s">
        <v>1</v>
      </c>
      <c r="H164" s="11" t="s">
        <v>87</v>
      </c>
      <c r="I164" s="11">
        <v>84131501</v>
      </c>
      <c r="J164" s="13">
        <v>1</v>
      </c>
      <c r="K164" s="13">
        <v>1</v>
      </c>
      <c r="L164" s="13">
        <v>11</v>
      </c>
      <c r="M164" s="13">
        <v>1</v>
      </c>
      <c r="N164" s="11" t="s">
        <v>86</v>
      </c>
      <c r="O164" s="13" t="s">
        <v>312</v>
      </c>
      <c r="P164" s="147">
        <v>53814203</v>
      </c>
      <c r="Q164" s="13">
        <v>1</v>
      </c>
      <c r="R164" s="13">
        <v>3</v>
      </c>
      <c r="S164" s="36" t="s">
        <v>313</v>
      </c>
      <c r="T164" s="36" t="s">
        <v>314</v>
      </c>
      <c r="U164" s="11" t="s">
        <v>22</v>
      </c>
      <c r="V164" s="11">
        <v>3846666</v>
      </c>
      <c r="W164" s="11" t="s">
        <v>23</v>
      </c>
      <c r="X164" s="11" t="s">
        <v>26</v>
      </c>
      <c r="Y164" s="11" t="s">
        <v>41</v>
      </c>
      <c r="Z164" s="11"/>
      <c r="AA164" s="11"/>
      <c r="AB164" s="153">
        <v>63077</v>
      </c>
      <c r="AC164" s="155">
        <f t="shared" si="18"/>
        <v>53751126</v>
      </c>
      <c r="AD164" s="195">
        <v>323</v>
      </c>
      <c r="AE164" s="196">
        <v>53751126</v>
      </c>
      <c r="AF164" s="210">
        <f t="shared" si="19"/>
        <v>0</v>
      </c>
      <c r="AG164" s="241">
        <v>323</v>
      </c>
      <c r="AH164" s="244">
        <v>44932</v>
      </c>
      <c r="AI164" s="344">
        <v>53751126</v>
      </c>
      <c r="AJ164" s="240">
        <f t="shared" si="17"/>
        <v>0</v>
      </c>
      <c r="AK164" s="241" t="s">
        <v>442</v>
      </c>
      <c r="AL164" s="245" t="s">
        <v>441</v>
      </c>
      <c r="AM164" s="376">
        <f>45898607+154700+1958609.98+937500</f>
        <v>48949416.979999997</v>
      </c>
      <c r="AN164" s="11" t="s">
        <v>557</v>
      </c>
      <c r="AO164" s="8" t="s">
        <v>998</v>
      </c>
      <c r="AP164" s="402"/>
    </row>
    <row r="165" spans="1:44" ht="116.25" customHeight="1" x14ac:dyDescent="0.2">
      <c r="A165" s="9" t="s">
        <v>88</v>
      </c>
      <c r="B165" s="10" t="s">
        <v>1</v>
      </c>
      <c r="C165" s="10" t="s">
        <v>300</v>
      </c>
      <c r="D165" s="163" t="s">
        <v>18</v>
      </c>
      <c r="E165" s="17" t="s">
        <v>183</v>
      </c>
      <c r="F165" s="17" t="s">
        <v>184</v>
      </c>
      <c r="G165" s="17" t="s">
        <v>1</v>
      </c>
      <c r="H165" s="1" t="s">
        <v>89</v>
      </c>
      <c r="I165" s="11" t="s">
        <v>1</v>
      </c>
      <c r="J165" s="13" t="s">
        <v>53</v>
      </c>
      <c r="K165" s="13" t="s">
        <v>53</v>
      </c>
      <c r="L165" s="13" t="s">
        <v>53</v>
      </c>
      <c r="M165" s="13" t="s">
        <v>53</v>
      </c>
      <c r="N165" s="11" t="s">
        <v>45</v>
      </c>
      <c r="O165" s="251" t="s">
        <v>312</v>
      </c>
      <c r="P165" s="147">
        <f>40000*11</f>
        <v>440000</v>
      </c>
      <c r="Q165" s="36">
        <v>0</v>
      </c>
      <c r="R165" s="36">
        <v>0</v>
      </c>
      <c r="S165" s="36" t="s">
        <v>313</v>
      </c>
      <c r="T165" s="36" t="s">
        <v>314</v>
      </c>
      <c r="U165" s="11" t="s">
        <v>22</v>
      </c>
      <c r="V165" s="11">
        <v>3846666</v>
      </c>
      <c r="W165" s="11" t="s">
        <v>23</v>
      </c>
      <c r="X165" s="1" t="s">
        <v>46</v>
      </c>
      <c r="Y165" s="1" t="s">
        <v>41</v>
      </c>
      <c r="Z165" s="11"/>
      <c r="AA165" s="11"/>
      <c r="AB165" s="153">
        <f>176000+176000</f>
        <v>352000</v>
      </c>
      <c r="AC165" s="21">
        <f t="shared" si="18"/>
        <v>88000</v>
      </c>
      <c r="AD165" s="199">
        <v>3823</v>
      </c>
      <c r="AE165" s="322">
        <v>44000</v>
      </c>
      <c r="AF165" s="218">
        <f t="shared" si="19"/>
        <v>44000</v>
      </c>
      <c r="AG165" s="241">
        <v>4123</v>
      </c>
      <c r="AH165" s="244">
        <v>44971</v>
      </c>
      <c r="AI165" s="344">
        <v>44000</v>
      </c>
      <c r="AJ165" s="240">
        <f t="shared" si="17"/>
        <v>44000</v>
      </c>
      <c r="AK165" s="245" t="s">
        <v>474</v>
      </c>
      <c r="AL165" s="245" t="s">
        <v>46</v>
      </c>
      <c r="AM165" s="376">
        <v>44000</v>
      </c>
      <c r="AN165" s="11" t="s">
        <v>816</v>
      </c>
      <c r="AQ165" s="402"/>
    </row>
    <row r="166" spans="1:44" ht="116.25" customHeight="1" x14ac:dyDescent="0.2">
      <c r="A166" s="9" t="s">
        <v>90</v>
      </c>
      <c r="B166" s="10" t="s">
        <v>1</v>
      </c>
      <c r="C166" s="10" t="s">
        <v>91</v>
      </c>
      <c r="D166" s="163" t="s">
        <v>18</v>
      </c>
      <c r="E166" s="17" t="s">
        <v>126</v>
      </c>
      <c r="F166" s="1" t="s">
        <v>181</v>
      </c>
      <c r="G166" s="17" t="s">
        <v>1</v>
      </c>
      <c r="H166" s="1" t="s">
        <v>92</v>
      </c>
      <c r="I166" s="11">
        <v>80111600</v>
      </c>
      <c r="J166" s="13">
        <v>2</v>
      </c>
      <c r="K166" s="13">
        <v>2</v>
      </c>
      <c r="L166" s="13">
        <v>11</v>
      </c>
      <c r="M166" s="13">
        <v>1</v>
      </c>
      <c r="N166" s="11" t="s">
        <v>25</v>
      </c>
      <c r="O166" s="251" t="s">
        <v>312</v>
      </c>
      <c r="P166" s="147">
        <v>28605766</v>
      </c>
      <c r="Q166" s="36">
        <v>0</v>
      </c>
      <c r="R166" s="36">
        <v>0</v>
      </c>
      <c r="S166" s="36" t="s">
        <v>313</v>
      </c>
      <c r="T166" s="36" t="s">
        <v>314</v>
      </c>
      <c r="U166" s="11" t="s">
        <v>22</v>
      </c>
      <c r="V166" s="11">
        <v>3846666</v>
      </c>
      <c r="W166" s="11" t="s">
        <v>23</v>
      </c>
      <c r="X166" s="1" t="s">
        <v>496</v>
      </c>
      <c r="Y166" s="1" t="s">
        <v>41</v>
      </c>
      <c r="Z166" s="11"/>
      <c r="AA166" s="11"/>
      <c r="AB166" s="153">
        <f>23562565+5043201</f>
        <v>28605766</v>
      </c>
      <c r="AC166" s="21">
        <f t="shared" si="18"/>
        <v>0</v>
      </c>
      <c r="AD166" s="243"/>
      <c r="AE166" s="350"/>
      <c r="AF166" s="236">
        <f>+AC166-AE166</f>
        <v>0</v>
      </c>
      <c r="AG166" s="243"/>
      <c r="AH166" s="243"/>
      <c r="AI166" s="345"/>
      <c r="AJ166" s="236">
        <f t="shared" si="17"/>
        <v>0</v>
      </c>
      <c r="AK166" s="243"/>
      <c r="AL166" s="243"/>
      <c r="AM166" s="377"/>
      <c r="AN166" s="13" t="s">
        <v>557</v>
      </c>
      <c r="AQ166" s="402"/>
    </row>
    <row r="167" spans="1:44" ht="116.25" customHeight="1" x14ac:dyDescent="0.2">
      <c r="A167" s="9" t="s">
        <v>90</v>
      </c>
      <c r="B167" s="10" t="s">
        <v>1</v>
      </c>
      <c r="C167" s="10" t="s">
        <v>91</v>
      </c>
      <c r="D167" s="163" t="s">
        <v>18</v>
      </c>
      <c r="E167" s="17" t="s">
        <v>125</v>
      </c>
      <c r="F167" s="1" t="s">
        <v>181</v>
      </c>
      <c r="G167" s="17" t="s">
        <v>1</v>
      </c>
      <c r="H167" s="1" t="s">
        <v>973</v>
      </c>
      <c r="I167" s="11">
        <v>80111600</v>
      </c>
      <c r="J167" s="13">
        <v>1</v>
      </c>
      <c r="K167" s="13">
        <v>1</v>
      </c>
      <c r="L167" s="3" t="s">
        <v>403</v>
      </c>
      <c r="M167" s="13">
        <v>0</v>
      </c>
      <c r="N167" s="11" t="s">
        <v>25</v>
      </c>
      <c r="O167" s="251" t="s">
        <v>312</v>
      </c>
      <c r="P167" s="147">
        <v>33404234</v>
      </c>
      <c r="Q167" s="36">
        <v>0</v>
      </c>
      <c r="R167" s="36">
        <v>0</v>
      </c>
      <c r="S167" s="36" t="s">
        <v>313</v>
      </c>
      <c r="T167" s="36" t="s">
        <v>314</v>
      </c>
      <c r="U167" s="11" t="s">
        <v>22</v>
      </c>
      <c r="V167" s="11">
        <v>3846666</v>
      </c>
      <c r="W167" s="11" t="s">
        <v>23</v>
      </c>
      <c r="X167" s="1" t="s">
        <v>496</v>
      </c>
      <c r="Y167" s="1" t="s">
        <v>41</v>
      </c>
      <c r="Z167" s="11"/>
      <c r="AA167" s="334">
        <f>3000174+3184159</f>
        <v>6184333</v>
      </c>
      <c r="AB167" s="153">
        <v>105396</v>
      </c>
      <c r="AC167" s="21">
        <f t="shared" si="18"/>
        <v>39483171</v>
      </c>
      <c r="AD167" s="217" t="s">
        <v>975</v>
      </c>
      <c r="AE167" s="351">
        <f>12736236+23562776+3184159</f>
        <v>39483171</v>
      </c>
      <c r="AF167" s="218">
        <f>+AC167-AE167</f>
        <v>0</v>
      </c>
      <c r="AG167" s="245" t="s">
        <v>981</v>
      </c>
      <c r="AH167" s="255" t="s">
        <v>982</v>
      </c>
      <c r="AI167" s="344">
        <f>12736236+23562776+3184159</f>
        <v>39483171</v>
      </c>
      <c r="AJ167" s="240">
        <f t="shared" si="17"/>
        <v>0</v>
      </c>
      <c r="AK167" s="245" t="s">
        <v>983</v>
      </c>
      <c r="AL167" s="245" t="s">
        <v>432</v>
      </c>
      <c r="AM167" s="378">
        <f>1379759+3184059+3184059+3184059+1804300+1273663+3184159+3184159+3184159+3184159+3184159+3184159+3184159</f>
        <v>36299012</v>
      </c>
      <c r="AN167" s="13" t="s">
        <v>557</v>
      </c>
      <c r="AO167" s="8" t="s">
        <v>998</v>
      </c>
    </row>
    <row r="168" spans="1:44" ht="152.25" customHeight="1" x14ac:dyDescent="0.2">
      <c r="A168" s="9" t="s">
        <v>90</v>
      </c>
      <c r="B168" s="10" t="s">
        <v>1</v>
      </c>
      <c r="C168" s="10" t="s">
        <v>91</v>
      </c>
      <c r="D168" s="163" t="s">
        <v>18</v>
      </c>
      <c r="E168" s="17" t="s">
        <v>125</v>
      </c>
      <c r="F168" s="1" t="s">
        <v>181</v>
      </c>
      <c r="G168" s="17" t="s">
        <v>1</v>
      </c>
      <c r="H168" s="1" t="s">
        <v>558</v>
      </c>
      <c r="I168" s="11">
        <v>80111600</v>
      </c>
      <c r="J168" s="13">
        <v>5</v>
      </c>
      <c r="K168" s="13">
        <v>5</v>
      </c>
      <c r="L168" s="3" t="s">
        <v>559</v>
      </c>
      <c r="M168" s="13">
        <v>0</v>
      </c>
      <c r="N168" s="11" t="s">
        <v>25</v>
      </c>
      <c r="O168" s="251" t="s">
        <v>312</v>
      </c>
      <c r="P168" s="147">
        <v>0</v>
      </c>
      <c r="Q168" s="36">
        <v>0</v>
      </c>
      <c r="R168" s="36">
        <v>0</v>
      </c>
      <c r="S168" s="36" t="s">
        <v>313</v>
      </c>
      <c r="T168" s="36" t="s">
        <v>314</v>
      </c>
      <c r="U168" s="11" t="s">
        <v>22</v>
      </c>
      <c r="V168" s="11">
        <v>3846666</v>
      </c>
      <c r="W168" s="11" t="s">
        <v>23</v>
      </c>
      <c r="X168" s="1" t="s">
        <v>496</v>
      </c>
      <c r="Y168" s="1" t="s">
        <v>41</v>
      </c>
      <c r="Z168" s="153">
        <v>23700600</v>
      </c>
      <c r="AA168" s="153"/>
      <c r="AB168" s="11"/>
      <c r="AC168" s="21">
        <f>P168+Z168+AA168-AB168</f>
        <v>23700600</v>
      </c>
      <c r="AD168" s="217">
        <v>12923</v>
      </c>
      <c r="AE168" s="351">
        <v>23700600</v>
      </c>
      <c r="AF168" s="218">
        <f>+AC168-AE168</f>
        <v>0</v>
      </c>
      <c r="AG168" s="241">
        <v>15023</v>
      </c>
      <c r="AH168" s="244">
        <v>45056</v>
      </c>
      <c r="AI168" s="344">
        <v>23700600</v>
      </c>
      <c r="AJ168" s="240">
        <f>+AC168-AI168</f>
        <v>0</v>
      </c>
      <c r="AK168" s="241" t="s">
        <v>598</v>
      </c>
      <c r="AL168" s="245" t="s">
        <v>597</v>
      </c>
      <c r="AM168" s="378">
        <f>2154600+3078000+3078000+3078000+3078000+3078000+3078000</f>
        <v>20622600</v>
      </c>
      <c r="AN168" s="11" t="s">
        <v>557</v>
      </c>
      <c r="AO168" s="8" t="s">
        <v>999</v>
      </c>
    </row>
    <row r="169" spans="1:44" ht="195" customHeight="1" x14ac:dyDescent="0.2">
      <c r="A169" s="9" t="s">
        <v>90</v>
      </c>
      <c r="B169" s="10" t="s">
        <v>1</v>
      </c>
      <c r="C169" s="10" t="s">
        <v>91</v>
      </c>
      <c r="D169" s="163" t="s">
        <v>18</v>
      </c>
      <c r="E169" s="17" t="s">
        <v>125</v>
      </c>
      <c r="F169" s="1" t="s">
        <v>181</v>
      </c>
      <c r="G169" s="17" t="s">
        <v>1</v>
      </c>
      <c r="H169" s="1" t="s">
        <v>980</v>
      </c>
      <c r="I169" s="11">
        <v>80111600</v>
      </c>
      <c r="J169" s="13">
        <v>1</v>
      </c>
      <c r="K169" s="13">
        <v>1</v>
      </c>
      <c r="L169" s="3" t="s">
        <v>402</v>
      </c>
      <c r="M169" s="13">
        <v>0</v>
      </c>
      <c r="N169" s="11" t="s">
        <v>25</v>
      </c>
      <c r="O169" s="251" t="s">
        <v>312</v>
      </c>
      <c r="P169" s="147">
        <f>3355426*11.5</f>
        <v>38587399</v>
      </c>
      <c r="Q169" s="36">
        <v>0</v>
      </c>
      <c r="R169" s="36">
        <v>0</v>
      </c>
      <c r="S169" s="36" t="s">
        <v>313</v>
      </c>
      <c r="T169" s="36" t="s">
        <v>314</v>
      </c>
      <c r="U169" s="11" t="s">
        <v>22</v>
      </c>
      <c r="V169" s="11">
        <v>3846666</v>
      </c>
      <c r="W169" s="11" t="s">
        <v>23</v>
      </c>
      <c r="X169" s="1" t="s">
        <v>496</v>
      </c>
      <c r="Y169" s="1" t="s">
        <v>41</v>
      </c>
      <c r="Z169" s="11"/>
      <c r="AA169" s="262">
        <v>3184159</v>
      </c>
      <c r="AB169" s="153">
        <f>3000174+138035+424541</f>
        <v>3562750</v>
      </c>
      <c r="AC169" s="21">
        <f t="shared" si="18"/>
        <v>38208808</v>
      </c>
      <c r="AD169" s="217" t="s">
        <v>992</v>
      </c>
      <c r="AE169" s="351">
        <f>12736236+22288413+3184059</f>
        <v>38208708</v>
      </c>
      <c r="AF169" s="218">
        <f>+AC169-AE169</f>
        <v>100</v>
      </c>
      <c r="AG169" s="241" t="s">
        <v>993</v>
      </c>
      <c r="AH169" s="255" t="s">
        <v>994</v>
      </c>
      <c r="AI169" s="344">
        <f>12736236+22288413+3184059</f>
        <v>38208708</v>
      </c>
      <c r="AJ169" s="240">
        <f t="shared" si="17"/>
        <v>100</v>
      </c>
      <c r="AK169" s="245" t="s">
        <v>995</v>
      </c>
      <c r="AL169" s="245" t="s">
        <v>439</v>
      </c>
      <c r="AM169" s="373">
        <f>424541+3184059+3184059+3184059+2759518+3184059+3184059+3184059+3184059+3184059+3184059+3184059</f>
        <v>35024649</v>
      </c>
      <c r="AN169" s="11" t="s">
        <v>836</v>
      </c>
      <c r="AO169" s="8" t="s">
        <v>998</v>
      </c>
    </row>
    <row r="170" spans="1:44" ht="116.25" customHeight="1" x14ac:dyDescent="0.2">
      <c r="A170" s="9" t="s">
        <v>90</v>
      </c>
      <c r="B170" s="10" t="s">
        <v>1</v>
      </c>
      <c r="C170" s="10" t="s">
        <v>91</v>
      </c>
      <c r="D170" s="163" t="s">
        <v>18</v>
      </c>
      <c r="E170" s="17" t="s">
        <v>125</v>
      </c>
      <c r="F170" s="1" t="s">
        <v>181</v>
      </c>
      <c r="G170" s="17" t="s">
        <v>1</v>
      </c>
      <c r="H170" s="1" t="s">
        <v>93</v>
      </c>
      <c r="I170" s="11">
        <v>80111600</v>
      </c>
      <c r="J170" s="13" t="s">
        <v>53</v>
      </c>
      <c r="K170" s="13" t="s">
        <v>53</v>
      </c>
      <c r="L170" s="13" t="s">
        <v>53</v>
      </c>
      <c r="M170" s="13" t="s">
        <v>53</v>
      </c>
      <c r="N170" s="11" t="s">
        <v>25</v>
      </c>
      <c r="O170" s="251" t="s">
        <v>312</v>
      </c>
      <c r="P170" s="147">
        <v>3000000</v>
      </c>
      <c r="Q170" s="36">
        <v>0</v>
      </c>
      <c r="R170" s="36">
        <v>0</v>
      </c>
      <c r="S170" s="36" t="s">
        <v>313</v>
      </c>
      <c r="T170" s="36" t="s">
        <v>314</v>
      </c>
      <c r="U170" s="11" t="s">
        <v>22</v>
      </c>
      <c r="V170" s="11">
        <v>3846666</v>
      </c>
      <c r="W170" s="11" t="s">
        <v>23</v>
      </c>
      <c r="X170" s="1" t="s">
        <v>26</v>
      </c>
      <c r="Y170" s="1" t="s">
        <v>41</v>
      </c>
      <c r="Z170" s="11"/>
      <c r="AA170" s="11"/>
      <c r="AB170" s="11"/>
      <c r="AC170" s="21">
        <f t="shared" si="18"/>
        <v>3000000</v>
      </c>
      <c r="AD170" s="217">
        <v>9023</v>
      </c>
      <c r="AE170" s="351">
        <v>3000000</v>
      </c>
      <c r="AF170" s="218">
        <f t="shared" si="19"/>
        <v>0</v>
      </c>
      <c r="AG170" s="241" t="s">
        <v>897</v>
      </c>
      <c r="AH170" s="255" t="s">
        <v>898</v>
      </c>
      <c r="AI170" s="344">
        <f>621087+621087+621087+621087</f>
        <v>2484348</v>
      </c>
      <c r="AJ170" s="240">
        <f>+AC170-AI170</f>
        <v>515652</v>
      </c>
      <c r="AK170" s="241" t="s">
        <v>53</v>
      </c>
      <c r="AL170" s="244" t="s">
        <v>500</v>
      </c>
      <c r="AM170" s="376">
        <f>621087+621087+621087+621087</f>
        <v>2484348</v>
      </c>
      <c r="AN170" s="12"/>
      <c r="AQ170" s="402"/>
    </row>
    <row r="171" spans="1:44" ht="116.25" customHeight="1" x14ac:dyDescent="0.2">
      <c r="A171" s="9" t="s">
        <v>90</v>
      </c>
      <c r="B171" s="10" t="s">
        <v>1</v>
      </c>
      <c r="C171" s="10" t="s">
        <v>91</v>
      </c>
      <c r="D171" s="163" t="s">
        <v>18</v>
      </c>
      <c r="E171" s="17" t="s">
        <v>125</v>
      </c>
      <c r="F171" s="1" t="s">
        <v>181</v>
      </c>
      <c r="G171" s="17" t="s">
        <v>1</v>
      </c>
      <c r="H171" s="1" t="s">
        <v>94</v>
      </c>
      <c r="I171" s="11">
        <v>80111600</v>
      </c>
      <c r="J171" s="13">
        <v>2</v>
      </c>
      <c r="K171" s="13">
        <v>2</v>
      </c>
      <c r="L171" s="13">
        <v>2</v>
      </c>
      <c r="M171" s="13">
        <v>1</v>
      </c>
      <c r="N171" s="4" t="s">
        <v>25</v>
      </c>
      <c r="O171" s="251" t="s">
        <v>312</v>
      </c>
      <c r="P171" s="147">
        <f>(2600000*1.06)*2</f>
        <v>5512000</v>
      </c>
      <c r="Q171" s="36">
        <v>0</v>
      </c>
      <c r="R171" s="36">
        <v>0</v>
      </c>
      <c r="S171" s="36" t="s">
        <v>313</v>
      </c>
      <c r="T171" s="36" t="s">
        <v>314</v>
      </c>
      <c r="U171" s="11" t="s">
        <v>22</v>
      </c>
      <c r="V171" s="11">
        <v>3846666</v>
      </c>
      <c r="W171" s="11" t="s">
        <v>23</v>
      </c>
      <c r="X171" s="11" t="s">
        <v>496</v>
      </c>
      <c r="Y171" s="1" t="s">
        <v>41</v>
      </c>
      <c r="Z171" s="11"/>
      <c r="AA171" s="11"/>
      <c r="AB171" s="153">
        <f>2124624+3387376</f>
        <v>5512000</v>
      </c>
      <c r="AC171" s="21">
        <f t="shared" si="18"/>
        <v>0</v>
      </c>
      <c r="AD171" s="243"/>
      <c r="AE171" s="352"/>
      <c r="AF171" s="236">
        <f>+AC171-AE171</f>
        <v>0</v>
      </c>
      <c r="AG171" s="243"/>
      <c r="AH171" s="243"/>
      <c r="AI171" s="345"/>
      <c r="AJ171" s="236">
        <f t="shared" si="17"/>
        <v>0</v>
      </c>
      <c r="AK171" s="243"/>
      <c r="AL171" s="243"/>
      <c r="AM171" s="374"/>
      <c r="AN171" s="13" t="s">
        <v>557</v>
      </c>
      <c r="AQ171" s="402"/>
    </row>
    <row r="172" spans="1:44" ht="116.25" customHeight="1" x14ac:dyDescent="0.2">
      <c r="A172" s="9" t="s">
        <v>90</v>
      </c>
      <c r="B172" s="10" t="s">
        <v>1</v>
      </c>
      <c r="C172" s="10" t="s">
        <v>91</v>
      </c>
      <c r="D172" s="163" t="s">
        <v>18</v>
      </c>
      <c r="E172" s="17" t="s">
        <v>313</v>
      </c>
      <c r="F172" s="17" t="s">
        <v>184</v>
      </c>
      <c r="G172" s="17" t="s">
        <v>1</v>
      </c>
      <c r="H172" s="4" t="s">
        <v>974</v>
      </c>
      <c r="I172" s="11">
        <v>80111600</v>
      </c>
      <c r="J172" s="13">
        <v>1</v>
      </c>
      <c r="K172" s="13">
        <v>1</v>
      </c>
      <c r="L172" s="13" t="s">
        <v>403</v>
      </c>
      <c r="M172" s="13">
        <v>0</v>
      </c>
      <c r="N172" s="4" t="s">
        <v>25</v>
      </c>
      <c r="O172" s="13" t="s">
        <v>312</v>
      </c>
      <c r="P172" s="147">
        <f>3956500*11.5</f>
        <v>45499750</v>
      </c>
      <c r="Q172" s="36">
        <v>0</v>
      </c>
      <c r="R172" s="36">
        <v>0</v>
      </c>
      <c r="S172" s="36" t="s">
        <v>313</v>
      </c>
      <c r="T172" s="36" t="s">
        <v>314</v>
      </c>
      <c r="U172" s="11" t="s">
        <v>318</v>
      </c>
      <c r="V172" s="11">
        <v>3846666</v>
      </c>
      <c r="W172" s="6" t="s">
        <v>140</v>
      </c>
      <c r="X172" s="11" t="s">
        <v>496</v>
      </c>
      <c r="Y172" s="11" t="s">
        <v>318</v>
      </c>
      <c r="Z172" s="11"/>
      <c r="AA172" s="334">
        <f>25585367+3824616+3956500</f>
        <v>33366483</v>
      </c>
      <c r="AB172" s="153">
        <v>29673750</v>
      </c>
      <c r="AC172" s="155">
        <f t="shared" si="18"/>
        <v>49192483</v>
      </c>
      <c r="AD172" s="195" t="s">
        <v>984</v>
      </c>
      <c r="AE172" s="203">
        <f>15826000+25585367-131884+3956500+3956500</f>
        <v>49192483</v>
      </c>
      <c r="AF172" s="210">
        <f t="shared" si="19"/>
        <v>0</v>
      </c>
      <c r="AG172" s="241" t="s">
        <v>985</v>
      </c>
      <c r="AH172" s="255" t="s">
        <v>986</v>
      </c>
      <c r="AI172" s="344">
        <f>15826000+25453483+3956500+3956500</f>
        <v>49192483</v>
      </c>
      <c r="AJ172" s="240">
        <f t="shared" si="17"/>
        <v>0</v>
      </c>
      <c r="AK172" s="245" t="s">
        <v>917</v>
      </c>
      <c r="AL172" s="245" t="s">
        <v>425</v>
      </c>
      <c r="AM172" s="378">
        <f>1978250+3956500+3956500+3956500+1978250+1714483+3956500+3956500+3956500+3956500+3956500+3956500+3956500</f>
        <v>45235983</v>
      </c>
      <c r="AN172" s="11" t="s">
        <v>836</v>
      </c>
      <c r="AO172" s="8" t="s">
        <v>998</v>
      </c>
    </row>
    <row r="173" spans="1:44" ht="116.25" customHeight="1" x14ac:dyDescent="0.2">
      <c r="A173" s="9" t="s">
        <v>90</v>
      </c>
      <c r="B173" s="10" t="s">
        <v>1</v>
      </c>
      <c r="C173" s="10" t="s">
        <v>91</v>
      </c>
      <c r="D173" s="163" t="s">
        <v>18</v>
      </c>
      <c r="E173" s="17" t="s">
        <v>183</v>
      </c>
      <c r="F173" s="17" t="s">
        <v>184</v>
      </c>
      <c r="G173" s="17" t="s">
        <v>1</v>
      </c>
      <c r="H173" s="4" t="s">
        <v>435</v>
      </c>
      <c r="I173" s="11">
        <v>80111600</v>
      </c>
      <c r="J173" s="13">
        <v>1</v>
      </c>
      <c r="K173" s="13">
        <v>1</v>
      </c>
      <c r="L173" s="13" t="s">
        <v>436</v>
      </c>
      <c r="M173" s="13">
        <v>0</v>
      </c>
      <c r="N173" s="4" t="s">
        <v>25</v>
      </c>
      <c r="O173" s="13" t="s">
        <v>312</v>
      </c>
      <c r="P173" s="147">
        <v>0</v>
      </c>
      <c r="Q173" s="36">
        <v>0</v>
      </c>
      <c r="R173" s="36">
        <v>0</v>
      </c>
      <c r="S173" s="36" t="s">
        <v>313</v>
      </c>
      <c r="T173" s="36" t="s">
        <v>314</v>
      </c>
      <c r="U173" s="11" t="s">
        <v>318</v>
      </c>
      <c r="V173" s="11">
        <v>3846666</v>
      </c>
      <c r="W173" s="6" t="s">
        <v>140</v>
      </c>
      <c r="X173" s="11" t="s">
        <v>496</v>
      </c>
      <c r="Y173" s="11" t="s">
        <v>318</v>
      </c>
      <c r="Z173" s="153">
        <v>29673750</v>
      </c>
      <c r="AA173" s="11"/>
      <c r="AB173" s="153">
        <v>25585367</v>
      </c>
      <c r="AC173" s="155">
        <f>P173+Z173+AA173-AB173</f>
        <v>4088383</v>
      </c>
      <c r="AD173" s="195">
        <v>2523</v>
      </c>
      <c r="AE173" s="203">
        <f>15826000-11737617</f>
        <v>4088383</v>
      </c>
      <c r="AF173" s="210">
        <f t="shared" si="19"/>
        <v>0</v>
      </c>
      <c r="AG173" s="241">
        <v>2423</v>
      </c>
      <c r="AH173" s="244">
        <v>44956</v>
      </c>
      <c r="AI173" s="344">
        <f>15826000-11737617</f>
        <v>4088383</v>
      </c>
      <c r="AJ173" s="240">
        <f t="shared" si="17"/>
        <v>0</v>
      </c>
      <c r="AK173" s="256">
        <v>13</v>
      </c>
      <c r="AL173" s="245" t="s">
        <v>445</v>
      </c>
      <c r="AM173" s="378">
        <f>131883+3956500</f>
        <v>4088383</v>
      </c>
      <c r="AN173" s="11" t="s">
        <v>560</v>
      </c>
      <c r="AQ173" s="402"/>
    </row>
    <row r="174" spans="1:44" ht="116.25" customHeight="1" x14ac:dyDescent="0.2">
      <c r="A174" s="9" t="s">
        <v>90</v>
      </c>
      <c r="B174" s="10" t="s">
        <v>1</v>
      </c>
      <c r="C174" s="10" t="s">
        <v>91</v>
      </c>
      <c r="D174" s="163" t="s">
        <v>18</v>
      </c>
      <c r="E174" s="17" t="s">
        <v>185</v>
      </c>
      <c r="F174" s="17" t="s">
        <v>185</v>
      </c>
      <c r="G174" s="17" t="s">
        <v>1</v>
      </c>
      <c r="H174" s="4" t="s">
        <v>972</v>
      </c>
      <c r="I174" s="11">
        <v>80111600</v>
      </c>
      <c r="J174" s="13">
        <v>1</v>
      </c>
      <c r="K174" s="13">
        <v>1</v>
      </c>
      <c r="L174" s="13" t="s">
        <v>403</v>
      </c>
      <c r="M174" s="13">
        <v>0</v>
      </c>
      <c r="N174" s="4" t="s">
        <v>25</v>
      </c>
      <c r="O174" s="13" t="s">
        <v>312</v>
      </c>
      <c r="P174" s="147">
        <v>41696620</v>
      </c>
      <c r="Q174" s="36">
        <v>0</v>
      </c>
      <c r="R174" s="36">
        <v>0</v>
      </c>
      <c r="S174" s="36" t="s">
        <v>313</v>
      </c>
      <c r="T174" s="36" t="s">
        <v>314</v>
      </c>
      <c r="U174" s="11" t="s">
        <v>161</v>
      </c>
      <c r="V174" s="11">
        <v>3846666</v>
      </c>
      <c r="W174" s="6" t="s">
        <v>162</v>
      </c>
      <c r="X174" s="11" t="s">
        <v>496</v>
      </c>
      <c r="Y174" s="11" t="s">
        <v>161</v>
      </c>
      <c r="Z174" s="11"/>
      <c r="AA174" s="334">
        <v>3625973</v>
      </c>
      <c r="AB174" s="153">
        <v>1087738</v>
      </c>
      <c r="AC174" s="155">
        <f t="shared" si="18"/>
        <v>44234855</v>
      </c>
      <c r="AD174" s="195" t="s">
        <v>979</v>
      </c>
      <c r="AE174" s="203">
        <f>12690276+28764624-846018+3625793</f>
        <v>44234675</v>
      </c>
      <c r="AF174" s="210">
        <f t="shared" si="19"/>
        <v>180</v>
      </c>
      <c r="AG174" s="241" t="s">
        <v>987</v>
      </c>
      <c r="AH174" s="255" t="s">
        <v>988</v>
      </c>
      <c r="AI174" s="344">
        <f>12690276+27918606+3625793</f>
        <v>44234675</v>
      </c>
      <c r="AJ174" s="240">
        <f t="shared" si="17"/>
        <v>180</v>
      </c>
      <c r="AK174" s="245" t="s">
        <v>989</v>
      </c>
      <c r="AL174" s="245" t="s">
        <v>454</v>
      </c>
      <c r="AM174" s="376">
        <f>4230092+4230092+4230092+2538055+3625793+3625793+3625793+3625793+3625793+3625793+3625793</f>
        <v>40608882</v>
      </c>
      <c r="AN174" s="13" t="s">
        <v>815</v>
      </c>
      <c r="AO174" s="8" t="s">
        <v>998</v>
      </c>
    </row>
    <row r="175" spans="1:44" ht="116.25" customHeight="1" x14ac:dyDescent="0.2">
      <c r="A175" s="9" t="s">
        <v>90</v>
      </c>
      <c r="B175" s="10" t="s">
        <v>1</v>
      </c>
      <c r="C175" s="10" t="s">
        <v>91</v>
      </c>
      <c r="D175" s="163" t="s">
        <v>18</v>
      </c>
      <c r="E175" s="17" t="s">
        <v>183</v>
      </c>
      <c r="F175" s="17" t="s">
        <v>184</v>
      </c>
      <c r="G175" s="17" t="s">
        <v>1</v>
      </c>
      <c r="H175" s="11" t="s">
        <v>488</v>
      </c>
      <c r="I175" s="11">
        <v>80111600</v>
      </c>
      <c r="J175" s="13">
        <v>2</v>
      </c>
      <c r="K175" s="13">
        <v>2</v>
      </c>
      <c r="L175" s="13">
        <v>10</v>
      </c>
      <c r="M175" s="13">
        <v>1</v>
      </c>
      <c r="N175" s="4" t="s">
        <v>25</v>
      </c>
      <c r="O175" s="13" t="s">
        <v>312</v>
      </c>
      <c r="P175" s="147">
        <f>3800000*10</f>
        <v>38000000</v>
      </c>
      <c r="Q175" s="36">
        <v>0</v>
      </c>
      <c r="R175" s="36">
        <v>0</v>
      </c>
      <c r="S175" s="36" t="s">
        <v>313</v>
      </c>
      <c r="T175" s="36" t="s">
        <v>314</v>
      </c>
      <c r="U175" s="11" t="s">
        <v>22</v>
      </c>
      <c r="V175" s="11">
        <v>3846666</v>
      </c>
      <c r="W175" s="6" t="s">
        <v>23</v>
      </c>
      <c r="X175" s="11" t="s">
        <v>496</v>
      </c>
      <c r="Y175" s="11" t="s">
        <v>22</v>
      </c>
      <c r="Z175" s="11"/>
      <c r="AA175" s="11"/>
      <c r="AB175" s="11"/>
      <c r="AC175" s="155">
        <f t="shared" si="18"/>
        <v>38000000</v>
      </c>
      <c r="AD175" s="195" t="s">
        <v>827</v>
      </c>
      <c r="AE175" s="203">
        <f>30400000+7600000</f>
        <v>38000000</v>
      </c>
      <c r="AF175" s="210">
        <f t="shared" si="19"/>
        <v>0</v>
      </c>
      <c r="AG175" s="241" t="s">
        <v>860</v>
      </c>
      <c r="AH175" s="255" t="s">
        <v>861</v>
      </c>
      <c r="AI175" s="344">
        <f>30400000+7600000</f>
        <v>38000000</v>
      </c>
      <c r="AJ175" s="240">
        <f t="shared" si="17"/>
        <v>0</v>
      </c>
      <c r="AK175" s="241" t="s">
        <v>494</v>
      </c>
      <c r="AL175" s="257" t="s">
        <v>493</v>
      </c>
      <c r="AM175" s="375">
        <f>3800000+3800000+3800000+3800000+3800000+3800000+3800000+3800000+3800000+3800000</f>
        <v>38000000</v>
      </c>
      <c r="AN175" s="12"/>
      <c r="AQ175" s="402"/>
    </row>
    <row r="176" spans="1:44" ht="116.25" customHeight="1" x14ac:dyDescent="0.2">
      <c r="A176" s="9" t="s">
        <v>90</v>
      </c>
      <c r="B176" s="10" t="s">
        <v>1</v>
      </c>
      <c r="C176" s="10" t="s">
        <v>91</v>
      </c>
      <c r="D176" s="163" t="s">
        <v>18</v>
      </c>
      <c r="E176" s="17" t="s">
        <v>32</v>
      </c>
      <c r="F176" s="17" t="s">
        <v>186</v>
      </c>
      <c r="G176" s="17" t="s">
        <v>1</v>
      </c>
      <c r="H176" s="4" t="s">
        <v>172</v>
      </c>
      <c r="I176" s="11">
        <v>80111600</v>
      </c>
      <c r="J176" s="13">
        <v>1</v>
      </c>
      <c r="K176" s="13">
        <v>1</v>
      </c>
      <c r="L176" s="13">
        <v>9</v>
      </c>
      <c r="M176" s="13">
        <v>1</v>
      </c>
      <c r="N176" s="4" t="s">
        <v>25</v>
      </c>
      <c r="O176" s="13" t="s">
        <v>312</v>
      </c>
      <c r="P176" s="153">
        <f>3625739*9</f>
        <v>32631651</v>
      </c>
      <c r="Q176" s="36">
        <v>0</v>
      </c>
      <c r="R176" s="36">
        <v>0</v>
      </c>
      <c r="S176" s="36" t="s">
        <v>313</v>
      </c>
      <c r="T176" s="36" t="s">
        <v>314</v>
      </c>
      <c r="U176" s="11" t="s">
        <v>22</v>
      </c>
      <c r="V176" s="11">
        <v>3846666</v>
      </c>
      <c r="W176" s="6" t="s">
        <v>23</v>
      </c>
      <c r="X176" s="11" t="s">
        <v>496</v>
      </c>
      <c r="Y176" s="11" t="s">
        <v>141</v>
      </c>
      <c r="Z176" s="11"/>
      <c r="AA176" s="11"/>
      <c r="AB176" s="11"/>
      <c r="AC176" s="155">
        <f t="shared" si="18"/>
        <v>32631651</v>
      </c>
      <c r="AD176" s="219" t="s">
        <v>596</v>
      </c>
      <c r="AE176" s="220">
        <f>10152069+22479582</f>
        <v>32631651</v>
      </c>
      <c r="AF176" s="210">
        <f t="shared" si="19"/>
        <v>0</v>
      </c>
      <c r="AG176" s="241" t="s">
        <v>666</v>
      </c>
      <c r="AH176" s="255" t="s">
        <v>667</v>
      </c>
      <c r="AI176" s="344">
        <f>10152069+22479582</f>
        <v>32631651</v>
      </c>
      <c r="AJ176" s="240">
        <f t="shared" ref="AJ176:AJ207" si="20">+AC176-AI176</f>
        <v>0</v>
      </c>
      <c r="AK176" s="245" t="s">
        <v>668</v>
      </c>
      <c r="AL176" s="241" t="s">
        <v>499</v>
      </c>
      <c r="AM176" s="376">
        <f>2900591+3625739+3625739+3021449+3625739+3625739+3625739+3625739+3625739+1329438</f>
        <v>32631651</v>
      </c>
      <c r="AN176" s="12"/>
      <c r="AQ176" s="402"/>
      <c r="AR176" s="402"/>
    </row>
    <row r="177" spans="1:43" ht="162.75" customHeight="1" x14ac:dyDescent="0.2">
      <c r="A177" s="9" t="s">
        <v>90</v>
      </c>
      <c r="B177" s="10" t="s">
        <v>1</v>
      </c>
      <c r="C177" s="10" t="s">
        <v>91</v>
      </c>
      <c r="D177" s="164" t="s">
        <v>18</v>
      </c>
      <c r="E177" s="17" t="s">
        <v>424</v>
      </c>
      <c r="F177" s="17" t="s">
        <v>184</v>
      </c>
      <c r="G177" s="17" t="s">
        <v>1</v>
      </c>
      <c r="H177" s="1" t="s">
        <v>418</v>
      </c>
      <c r="I177" s="4">
        <v>80111600</v>
      </c>
      <c r="J177" s="4" t="s">
        <v>419</v>
      </c>
      <c r="K177" s="4" t="s">
        <v>419</v>
      </c>
      <c r="L177" s="4" t="s">
        <v>420</v>
      </c>
      <c r="M177" s="4">
        <v>1</v>
      </c>
      <c r="N177" s="4" t="s">
        <v>25</v>
      </c>
      <c r="O177" s="13" t="s">
        <v>312</v>
      </c>
      <c r="P177" s="149">
        <v>21552986</v>
      </c>
      <c r="Q177" s="36">
        <v>0</v>
      </c>
      <c r="R177" s="36">
        <v>0</v>
      </c>
      <c r="S177" s="36" t="s">
        <v>313</v>
      </c>
      <c r="T177" s="36" t="s">
        <v>314</v>
      </c>
      <c r="U177" s="1" t="s">
        <v>318</v>
      </c>
      <c r="V177" s="1">
        <v>3846666</v>
      </c>
      <c r="W177" s="6" t="s">
        <v>140</v>
      </c>
      <c r="X177" s="11" t="s">
        <v>754</v>
      </c>
      <c r="Y177" s="2" t="s">
        <v>318</v>
      </c>
      <c r="Z177" s="2"/>
      <c r="AA177" s="2"/>
      <c r="AB177" s="2"/>
      <c r="AC177" s="155">
        <f t="shared" ref="AC177:AC207" si="21">P177+Z177+AA177-AB177</f>
        <v>21552986</v>
      </c>
      <c r="AD177" s="195" t="s">
        <v>812</v>
      </c>
      <c r="AE177" s="203">
        <f>7837448+7837448+5878086-1175617</f>
        <v>20377365</v>
      </c>
      <c r="AF177" s="210">
        <f t="shared" si="19"/>
        <v>1175621</v>
      </c>
      <c r="AG177" s="245" t="s">
        <v>813</v>
      </c>
      <c r="AH177" s="255" t="s">
        <v>814</v>
      </c>
      <c r="AI177" s="344">
        <f>7837448+7837448+5878086-1175617</f>
        <v>20377365</v>
      </c>
      <c r="AJ177" s="240">
        <f t="shared" si="20"/>
        <v>1175621</v>
      </c>
      <c r="AK177" s="245" t="s">
        <v>601</v>
      </c>
      <c r="AL177" s="245" t="s">
        <v>427</v>
      </c>
      <c r="AM177" s="378">
        <f>914369+1959362+1959362+1959362+1044993+849057+1959362+1959362+1959362+1110305+783745+1959362+1959362</f>
        <v>20377365</v>
      </c>
      <c r="AN177" s="13" t="s">
        <v>421</v>
      </c>
      <c r="AQ177" s="402"/>
    </row>
    <row r="178" spans="1:43" ht="116.25" customHeight="1" x14ac:dyDescent="0.2">
      <c r="A178" s="9" t="s">
        <v>95</v>
      </c>
      <c r="B178" s="10" t="s">
        <v>1</v>
      </c>
      <c r="C178" s="10" t="s">
        <v>298</v>
      </c>
      <c r="D178" s="163" t="s">
        <v>18</v>
      </c>
      <c r="E178" s="17" t="s">
        <v>126</v>
      </c>
      <c r="F178" s="1" t="s">
        <v>181</v>
      </c>
      <c r="G178" s="17" t="s">
        <v>1</v>
      </c>
      <c r="H178" s="1" t="s">
        <v>96</v>
      </c>
      <c r="I178" s="11" t="s">
        <v>1</v>
      </c>
      <c r="J178" s="13" t="s">
        <v>53</v>
      </c>
      <c r="K178" s="13" t="s">
        <v>53</v>
      </c>
      <c r="L178" s="13" t="s">
        <v>53</v>
      </c>
      <c r="M178" s="13" t="s">
        <v>53</v>
      </c>
      <c r="N178" s="11" t="s">
        <v>45</v>
      </c>
      <c r="O178" s="251" t="s">
        <v>312</v>
      </c>
      <c r="P178" s="147">
        <v>14000000</v>
      </c>
      <c r="Q178" s="36">
        <v>0</v>
      </c>
      <c r="R178" s="36">
        <v>0</v>
      </c>
      <c r="S178" s="36" t="s">
        <v>313</v>
      </c>
      <c r="T178" s="36" t="s">
        <v>314</v>
      </c>
      <c r="U178" s="11" t="s">
        <v>22</v>
      </c>
      <c r="V178" s="11">
        <v>3846666</v>
      </c>
      <c r="W178" s="11" t="s">
        <v>23</v>
      </c>
      <c r="X178" s="1" t="s">
        <v>26</v>
      </c>
      <c r="Y178" s="1" t="s">
        <v>41</v>
      </c>
      <c r="Z178" s="11"/>
      <c r="AA178" s="153">
        <v>1230044.19</v>
      </c>
      <c r="AB178" s="11"/>
      <c r="AC178" s="21">
        <f t="shared" si="21"/>
        <v>15230044.189999999</v>
      </c>
      <c r="AD178" s="199" t="s">
        <v>947</v>
      </c>
      <c r="AE178" s="322">
        <f>320170.1+872480+872480+309832.2+311562.09+872480+986950+309832.2+309832.2+986950+986950+309832.2+986950+309832.2+309832.2+986950+309832.2+986950+986950+309829.4+309832.2+986950+986950+309832</f>
        <v>15230041.189999999</v>
      </c>
      <c r="AF178" s="218">
        <f t="shared" si="19"/>
        <v>3</v>
      </c>
      <c r="AG178" s="245" t="s">
        <v>948</v>
      </c>
      <c r="AH178" s="258" t="s">
        <v>949</v>
      </c>
      <c r="AI178" s="344">
        <f>320170.1+872480+872480+309832.2+311562.09+872480+986950+309832.2+309832.2+986950+986950+309832.2+986950+309832.2+309832.2+986950+309832.2+986950+986950+309829.4+309832.2+986950+986950+309832</f>
        <v>15230041.189999999</v>
      </c>
      <c r="AJ178" s="240">
        <f>+AC178-AI178</f>
        <v>3</v>
      </c>
      <c r="AK178" s="245" t="s">
        <v>53</v>
      </c>
      <c r="AL178" s="245" t="s">
        <v>431</v>
      </c>
      <c r="AM178" s="375">
        <f>320170.1+872480+872480+309832.2+311562.09+872480+986950+309832.2+309832.2+986950+986950+309832.2+986950+309832.2+309832+986950+309832+986950+986950+309829.4+309832.2+986950+986950+309832+0.4</f>
        <v>15230041.190000001</v>
      </c>
      <c r="AN178" s="11" t="s">
        <v>557</v>
      </c>
      <c r="AQ178" s="402"/>
    </row>
    <row r="179" spans="1:43" ht="116.25" customHeight="1" x14ac:dyDescent="0.2">
      <c r="A179" s="9" t="s">
        <v>97</v>
      </c>
      <c r="B179" s="10" t="s">
        <v>1</v>
      </c>
      <c r="C179" s="10" t="s">
        <v>98</v>
      </c>
      <c r="D179" s="163" t="s">
        <v>18</v>
      </c>
      <c r="E179" s="17" t="s">
        <v>126</v>
      </c>
      <c r="F179" s="1" t="s">
        <v>181</v>
      </c>
      <c r="G179" s="17" t="s">
        <v>1</v>
      </c>
      <c r="H179" s="1" t="s">
        <v>99</v>
      </c>
      <c r="I179" s="11">
        <v>92101501</v>
      </c>
      <c r="J179" s="13">
        <v>1</v>
      </c>
      <c r="K179" s="13">
        <v>1</v>
      </c>
      <c r="L179" s="13" t="s">
        <v>404</v>
      </c>
      <c r="M179" s="13">
        <v>0</v>
      </c>
      <c r="N179" s="11" t="s">
        <v>86</v>
      </c>
      <c r="O179" s="251" t="s">
        <v>312</v>
      </c>
      <c r="P179" s="147">
        <v>104467556</v>
      </c>
      <c r="Q179" s="36">
        <v>0</v>
      </c>
      <c r="R179" s="36">
        <v>0</v>
      </c>
      <c r="S179" s="36" t="s">
        <v>313</v>
      </c>
      <c r="T179" s="36" t="s">
        <v>314</v>
      </c>
      <c r="U179" s="11" t="s">
        <v>22</v>
      </c>
      <c r="V179" s="11">
        <v>3846666</v>
      </c>
      <c r="W179" s="11" t="s">
        <v>23</v>
      </c>
      <c r="X179" s="1" t="s">
        <v>26</v>
      </c>
      <c r="Y179" s="1" t="s">
        <v>41</v>
      </c>
      <c r="Z179" s="11"/>
      <c r="AA179" s="153">
        <f>15027000+811495</f>
        <v>15838495</v>
      </c>
      <c r="AB179" s="11"/>
      <c r="AC179" s="21">
        <f t="shared" si="21"/>
        <v>120306051</v>
      </c>
      <c r="AD179" s="217" t="s">
        <v>839</v>
      </c>
      <c r="AE179" s="322">
        <f>104467556+15838495</f>
        <v>120306051</v>
      </c>
      <c r="AF179" s="218">
        <f t="shared" si="19"/>
        <v>0</v>
      </c>
      <c r="AG179" s="394" t="s">
        <v>881</v>
      </c>
      <c r="AH179" s="242" t="s">
        <v>882</v>
      </c>
      <c r="AI179" s="344">
        <f>104467556+15838495</f>
        <v>120306051</v>
      </c>
      <c r="AJ179" s="240">
        <f t="shared" si="20"/>
        <v>0</v>
      </c>
      <c r="AK179" s="241" t="s">
        <v>485</v>
      </c>
      <c r="AL179" s="245" t="s">
        <v>486</v>
      </c>
      <c r="AM179" s="373">
        <f>11610054+11610054+11610054+11610054+11610054+11948117+11948117+11948117+11948117+7683957+6551079</f>
        <v>120077774</v>
      </c>
      <c r="AN179" s="11" t="s">
        <v>816</v>
      </c>
      <c r="AO179" s="8" t="s">
        <v>998</v>
      </c>
      <c r="AQ179" s="402"/>
    </row>
    <row r="180" spans="1:43" ht="116.25" customHeight="1" x14ac:dyDescent="0.2">
      <c r="A180" s="9" t="s">
        <v>97</v>
      </c>
      <c r="B180" s="10" t="s">
        <v>1</v>
      </c>
      <c r="C180" s="10" t="s">
        <v>98</v>
      </c>
      <c r="D180" s="163" t="s">
        <v>18</v>
      </c>
      <c r="E180" s="17" t="s">
        <v>126</v>
      </c>
      <c r="F180" s="1" t="s">
        <v>181</v>
      </c>
      <c r="G180" s="17" t="s">
        <v>1</v>
      </c>
      <c r="H180" s="1" t="s">
        <v>99</v>
      </c>
      <c r="I180" s="11">
        <v>92101501</v>
      </c>
      <c r="J180" s="13">
        <v>1</v>
      </c>
      <c r="K180" s="13">
        <v>1</v>
      </c>
      <c r="L180" s="13" t="s">
        <v>404</v>
      </c>
      <c r="M180" s="13">
        <v>0</v>
      </c>
      <c r="N180" s="11" t="s">
        <v>86</v>
      </c>
      <c r="O180" s="251" t="s">
        <v>385</v>
      </c>
      <c r="P180" s="147">
        <v>13532444</v>
      </c>
      <c r="Q180" s="36">
        <v>0</v>
      </c>
      <c r="R180" s="36">
        <v>0</v>
      </c>
      <c r="S180" s="36" t="s">
        <v>313</v>
      </c>
      <c r="T180" s="36" t="s">
        <v>314</v>
      </c>
      <c r="U180" s="11" t="s">
        <v>22</v>
      </c>
      <c r="V180" s="11">
        <v>3846666</v>
      </c>
      <c r="W180" s="11" t="s">
        <v>23</v>
      </c>
      <c r="X180" s="1" t="s">
        <v>26</v>
      </c>
      <c r="Y180" s="1" t="s">
        <v>41</v>
      </c>
      <c r="Z180" s="11"/>
      <c r="AA180" s="11"/>
      <c r="AB180" s="11"/>
      <c r="AC180" s="21">
        <f t="shared" si="21"/>
        <v>13532444</v>
      </c>
      <c r="AD180" s="217" t="s">
        <v>839</v>
      </c>
      <c r="AE180" s="322">
        <f>13402589-4343450+4473305</f>
        <v>13532444</v>
      </c>
      <c r="AF180" s="218">
        <f t="shared" si="19"/>
        <v>0</v>
      </c>
      <c r="AG180" s="394" t="s">
        <v>881</v>
      </c>
      <c r="AH180" s="242" t="s">
        <v>882</v>
      </c>
      <c r="AI180" s="344">
        <f>9059139+4473305</f>
        <v>13532444</v>
      </c>
      <c r="AJ180" s="240">
        <f t="shared" si="20"/>
        <v>0</v>
      </c>
      <c r="AK180" s="241" t="s">
        <v>485</v>
      </c>
      <c r="AL180" s="245" t="s">
        <v>486</v>
      </c>
      <c r="AM180" s="373">
        <f>4264160</f>
        <v>4264160</v>
      </c>
      <c r="AN180" s="11"/>
      <c r="AO180" s="8" t="s">
        <v>998</v>
      </c>
      <c r="AP180" s="402"/>
    </row>
    <row r="181" spans="1:43" ht="116.25" customHeight="1" x14ac:dyDescent="0.2">
      <c r="A181" s="9" t="s">
        <v>97</v>
      </c>
      <c r="B181" s="10" t="s">
        <v>1</v>
      </c>
      <c r="C181" s="10" t="s">
        <v>98</v>
      </c>
      <c r="D181" s="163" t="s">
        <v>18</v>
      </c>
      <c r="E181" s="17" t="s">
        <v>126</v>
      </c>
      <c r="F181" s="1" t="s">
        <v>181</v>
      </c>
      <c r="G181" s="17" t="s">
        <v>1</v>
      </c>
      <c r="H181" s="1" t="s">
        <v>100</v>
      </c>
      <c r="I181" s="11">
        <v>92101501</v>
      </c>
      <c r="J181" s="13">
        <v>1</v>
      </c>
      <c r="K181" s="13">
        <v>1</v>
      </c>
      <c r="L181" s="13">
        <v>2</v>
      </c>
      <c r="M181" s="13">
        <v>1</v>
      </c>
      <c r="N181" s="11" t="s">
        <v>86</v>
      </c>
      <c r="O181" s="251" t="s">
        <v>312</v>
      </c>
      <c r="P181" s="147">
        <v>17213148</v>
      </c>
      <c r="Q181" s="13">
        <v>1</v>
      </c>
      <c r="R181" s="13">
        <v>3</v>
      </c>
      <c r="S181" s="36" t="s">
        <v>313</v>
      </c>
      <c r="T181" s="36" t="s">
        <v>314</v>
      </c>
      <c r="U181" s="11" t="s">
        <v>22</v>
      </c>
      <c r="V181" s="11">
        <v>3846666</v>
      </c>
      <c r="W181" s="11" t="s">
        <v>23</v>
      </c>
      <c r="X181" s="1" t="s">
        <v>26</v>
      </c>
      <c r="Y181" s="1" t="s">
        <v>41</v>
      </c>
      <c r="Z181" s="11"/>
      <c r="AA181" s="11"/>
      <c r="AB181" s="11"/>
      <c r="AC181" s="21">
        <f t="shared" si="21"/>
        <v>17213148</v>
      </c>
      <c r="AD181" s="217">
        <v>223</v>
      </c>
      <c r="AE181" s="322">
        <f>17213148-348797</f>
        <v>16864351</v>
      </c>
      <c r="AF181" s="218">
        <f t="shared" si="19"/>
        <v>348797</v>
      </c>
      <c r="AG181" s="241">
        <v>223</v>
      </c>
      <c r="AH181" s="244">
        <v>44932</v>
      </c>
      <c r="AI181" s="344">
        <f>17213148-348797</f>
        <v>16864351</v>
      </c>
      <c r="AJ181" s="240">
        <f t="shared" si="20"/>
        <v>348797</v>
      </c>
      <c r="AK181" s="241" t="s">
        <v>443</v>
      </c>
      <c r="AL181" s="245" t="s">
        <v>914</v>
      </c>
      <c r="AM181" s="378">
        <f>10638319+6226032</f>
        <v>16864351</v>
      </c>
      <c r="AN181" s="11"/>
      <c r="AQ181" s="402"/>
    </row>
    <row r="182" spans="1:43" ht="116.25" customHeight="1" x14ac:dyDescent="0.2">
      <c r="A182" s="9" t="s">
        <v>97</v>
      </c>
      <c r="B182" s="10" t="s">
        <v>1</v>
      </c>
      <c r="C182" s="10" t="s">
        <v>98</v>
      </c>
      <c r="D182" s="163" t="s">
        <v>18</v>
      </c>
      <c r="E182" s="17" t="s">
        <v>126</v>
      </c>
      <c r="F182" s="1" t="s">
        <v>181</v>
      </c>
      <c r="G182" s="17" t="s">
        <v>1</v>
      </c>
      <c r="H182" s="1" t="s">
        <v>101</v>
      </c>
      <c r="I182" s="11">
        <v>76111501</v>
      </c>
      <c r="J182" s="1">
        <v>3</v>
      </c>
      <c r="K182" s="1">
        <v>3</v>
      </c>
      <c r="L182" s="1">
        <v>9</v>
      </c>
      <c r="M182" s="1">
        <v>1</v>
      </c>
      <c r="N182" s="11" t="s">
        <v>86</v>
      </c>
      <c r="O182" s="251" t="s">
        <v>312</v>
      </c>
      <c r="P182" s="147">
        <v>38000000</v>
      </c>
      <c r="Q182" s="13">
        <v>0</v>
      </c>
      <c r="R182" s="13">
        <v>0</v>
      </c>
      <c r="S182" s="36" t="s">
        <v>313</v>
      </c>
      <c r="T182" s="36" t="s">
        <v>314</v>
      </c>
      <c r="U182" s="11" t="s">
        <v>22</v>
      </c>
      <c r="V182" s="11">
        <v>3846666</v>
      </c>
      <c r="W182" s="11" t="s">
        <v>23</v>
      </c>
      <c r="X182" s="1" t="s">
        <v>26</v>
      </c>
      <c r="Y182" s="1" t="s">
        <v>41</v>
      </c>
      <c r="Z182" s="11"/>
      <c r="AA182" s="153">
        <v>6778143</v>
      </c>
      <c r="AB182" s="11"/>
      <c r="AC182" s="21">
        <f t="shared" si="21"/>
        <v>44778143</v>
      </c>
      <c r="AD182" s="217" t="s">
        <v>498</v>
      </c>
      <c r="AE182" s="323">
        <f>459841+44318302-0.39</f>
        <v>44778142.609999999</v>
      </c>
      <c r="AF182" s="218">
        <f t="shared" si="19"/>
        <v>0.39000000059604645</v>
      </c>
      <c r="AG182" s="241" t="s">
        <v>504</v>
      </c>
      <c r="AH182" s="255" t="s">
        <v>505</v>
      </c>
      <c r="AI182" s="344">
        <f>459841+44318301.61</f>
        <v>44778142.609999999</v>
      </c>
      <c r="AJ182" s="240">
        <f t="shared" si="20"/>
        <v>0.39000000059604645</v>
      </c>
      <c r="AK182" s="245" t="s">
        <v>507</v>
      </c>
      <c r="AL182" s="245" t="s">
        <v>509</v>
      </c>
      <c r="AM182" s="378">
        <f>459841+3446979.01+4924255.73+5160831.07+4924255.73+4924255.73+4924255.73+5160831.07+5160831.07+5691806.47</f>
        <v>44778142.609999999</v>
      </c>
      <c r="AN182" s="11" t="s">
        <v>421</v>
      </c>
      <c r="AP182" s="402"/>
    </row>
    <row r="183" spans="1:43" ht="116.25" customHeight="1" x14ac:dyDescent="0.2">
      <c r="A183" s="9" t="s">
        <v>97</v>
      </c>
      <c r="B183" s="10" t="s">
        <v>1</v>
      </c>
      <c r="C183" s="10" t="s">
        <v>98</v>
      </c>
      <c r="D183" s="163" t="s">
        <v>18</v>
      </c>
      <c r="E183" s="17" t="s">
        <v>126</v>
      </c>
      <c r="F183" s="1" t="s">
        <v>181</v>
      </c>
      <c r="G183" s="17" t="s">
        <v>1</v>
      </c>
      <c r="H183" s="1" t="s">
        <v>102</v>
      </c>
      <c r="I183" s="11">
        <v>76111501</v>
      </c>
      <c r="J183" s="13">
        <v>1</v>
      </c>
      <c r="K183" s="13">
        <v>1</v>
      </c>
      <c r="L183" s="13">
        <v>3</v>
      </c>
      <c r="M183" s="13">
        <v>1</v>
      </c>
      <c r="N183" s="11" t="s">
        <v>86</v>
      </c>
      <c r="O183" s="251" t="s">
        <v>312</v>
      </c>
      <c r="P183" s="147">
        <v>12838704</v>
      </c>
      <c r="Q183" s="13">
        <v>1</v>
      </c>
      <c r="R183" s="13">
        <v>3</v>
      </c>
      <c r="S183" s="36" t="s">
        <v>313</v>
      </c>
      <c r="T183" s="36" t="s">
        <v>314</v>
      </c>
      <c r="U183" s="11" t="s">
        <v>22</v>
      </c>
      <c r="V183" s="11">
        <v>3846666</v>
      </c>
      <c r="W183" s="11" t="s">
        <v>23</v>
      </c>
      <c r="X183" s="1" t="s">
        <v>26</v>
      </c>
      <c r="Y183" s="1" t="s">
        <v>41</v>
      </c>
      <c r="Z183" s="11"/>
      <c r="AA183" s="11"/>
      <c r="AB183" s="11"/>
      <c r="AC183" s="21">
        <f t="shared" si="21"/>
        <v>12838704</v>
      </c>
      <c r="AD183" s="217">
        <v>123</v>
      </c>
      <c r="AE183" s="322">
        <v>12838704</v>
      </c>
      <c r="AF183" s="218">
        <f t="shared" si="19"/>
        <v>0</v>
      </c>
      <c r="AG183" s="241">
        <v>123</v>
      </c>
      <c r="AH183" s="244">
        <v>44932</v>
      </c>
      <c r="AI183" s="344">
        <v>12838704</v>
      </c>
      <c r="AJ183" s="240">
        <f t="shared" si="20"/>
        <v>0</v>
      </c>
      <c r="AK183" s="241" t="s">
        <v>440</v>
      </c>
      <c r="AL183" s="241" t="s">
        <v>501</v>
      </c>
      <c r="AM183" s="378">
        <f>4703053.54+4703056.64+3432593.82</f>
        <v>12838704</v>
      </c>
      <c r="AN183" s="11"/>
      <c r="AQ183" s="402"/>
    </row>
    <row r="184" spans="1:43" ht="116.25" customHeight="1" x14ac:dyDescent="0.2">
      <c r="A184" s="9" t="s">
        <v>97</v>
      </c>
      <c r="B184" s="10" t="s">
        <v>1</v>
      </c>
      <c r="C184" s="10" t="s">
        <v>98</v>
      </c>
      <c r="D184" s="163" t="s">
        <v>18</v>
      </c>
      <c r="E184" s="17" t="s">
        <v>126</v>
      </c>
      <c r="F184" s="1" t="s">
        <v>181</v>
      </c>
      <c r="G184" s="17" t="s">
        <v>1</v>
      </c>
      <c r="H184" s="1" t="s">
        <v>103</v>
      </c>
      <c r="I184" s="11">
        <v>47121600</v>
      </c>
      <c r="J184" s="1">
        <v>3</v>
      </c>
      <c r="K184" s="1">
        <v>3</v>
      </c>
      <c r="L184" s="1">
        <v>9</v>
      </c>
      <c r="M184" s="1">
        <v>1</v>
      </c>
      <c r="N184" s="11" t="s">
        <v>24</v>
      </c>
      <c r="O184" s="251" t="s">
        <v>312</v>
      </c>
      <c r="P184" s="147">
        <v>3000000</v>
      </c>
      <c r="Q184" s="13">
        <v>0</v>
      </c>
      <c r="R184" s="13">
        <v>0</v>
      </c>
      <c r="S184" s="36" t="s">
        <v>313</v>
      </c>
      <c r="T184" s="36" t="s">
        <v>314</v>
      </c>
      <c r="U184" s="11" t="s">
        <v>22</v>
      </c>
      <c r="V184" s="11">
        <v>3846666</v>
      </c>
      <c r="W184" s="11" t="s">
        <v>23</v>
      </c>
      <c r="X184" s="1" t="s">
        <v>26</v>
      </c>
      <c r="Y184" s="1" t="s">
        <v>41</v>
      </c>
      <c r="Z184" s="11"/>
      <c r="AA184" s="153">
        <v>1397150</v>
      </c>
      <c r="AB184" s="153">
        <v>1843909.8</v>
      </c>
      <c r="AC184" s="21">
        <f t="shared" si="21"/>
        <v>2553240.2000000002</v>
      </c>
      <c r="AD184" s="217">
        <v>8023</v>
      </c>
      <c r="AE184" s="323">
        <f>4397150-1843910.19+0.39</f>
        <v>2553240.2000000002</v>
      </c>
      <c r="AF184" s="218">
        <f t="shared" si="19"/>
        <v>0</v>
      </c>
      <c r="AG184" s="241">
        <v>10623</v>
      </c>
      <c r="AH184" s="244">
        <v>45016</v>
      </c>
      <c r="AI184" s="344">
        <v>2553240.2000000002</v>
      </c>
      <c r="AJ184" s="240">
        <f t="shared" si="20"/>
        <v>0</v>
      </c>
      <c r="AK184" s="241" t="s">
        <v>506</v>
      </c>
      <c r="AL184" s="241" t="s">
        <v>508</v>
      </c>
      <c r="AM184" s="371">
        <f>234725.64+425911.82+236575.34</f>
        <v>897212.79999999993</v>
      </c>
      <c r="AN184" s="11" t="s">
        <v>560</v>
      </c>
      <c r="AO184" s="412" t="s">
        <v>998</v>
      </c>
      <c r="AP184" s="402"/>
    </row>
    <row r="185" spans="1:43" ht="116.25" customHeight="1" x14ac:dyDescent="0.2">
      <c r="A185" s="9" t="s">
        <v>104</v>
      </c>
      <c r="B185" s="10" t="s">
        <v>1</v>
      </c>
      <c r="C185" s="10" t="s">
        <v>105</v>
      </c>
      <c r="D185" s="163" t="s">
        <v>18</v>
      </c>
      <c r="E185" s="17" t="s">
        <v>126</v>
      </c>
      <c r="F185" s="1" t="s">
        <v>181</v>
      </c>
      <c r="G185" s="17" t="s">
        <v>1</v>
      </c>
      <c r="H185" s="1" t="s">
        <v>106</v>
      </c>
      <c r="I185" s="11">
        <v>78181500</v>
      </c>
      <c r="J185" s="13">
        <v>2</v>
      </c>
      <c r="K185" s="13">
        <v>2</v>
      </c>
      <c r="L185" s="13">
        <v>10</v>
      </c>
      <c r="M185" s="13">
        <v>1</v>
      </c>
      <c r="N185" s="11" t="s">
        <v>24</v>
      </c>
      <c r="O185" s="251" t="s">
        <v>312</v>
      </c>
      <c r="P185" s="147">
        <v>7000000</v>
      </c>
      <c r="Q185" s="13">
        <v>0</v>
      </c>
      <c r="R185" s="13">
        <v>0</v>
      </c>
      <c r="S185" s="36" t="s">
        <v>313</v>
      </c>
      <c r="T185" s="36" t="s">
        <v>314</v>
      </c>
      <c r="U185" s="11" t="s">
        <v>22</v>
      </c>
      <c r="V185" s="11">
        <v>3846666</v>
      </c>
      <c r="W185" s="11" t="s">
        <v>23</v>
      </c>
      <c r="X185" s="1" t="s">
        <v>26</v>
      </c>
      <c r="Y185" s="1" t="s">
        <v>41</v>
      </c>
      <c r="Z185" s="11"/>
      <c r="AA185" s="11"/>
      <c r="AB185" s="11"/>
      <c r="AC185" s="21">
        <f t="shared" si="21"/>
        <v>7000000</v>
      </c>
      <c r="AD185" s="217">
        <v>8123</v>
      </c>
      <c r="AE185" s="324">
        <v>7000000</v>
      </c>
      <c r="AF185" s="218">
        <f t="shared" si="19"/>
        <v>0</v>
      </c>
      <c r="AG185" s="241">
        <v>11723</v>
      </c>
      <c r="AH185" s="244">
        <v>45033</v>
      </c>
      <c r="AI185" s="344">
        <v>7000000</v>
      </c>
      <c r="AJ185" s="240">
        <f t="shared" si="20"/>
        <v>0</v>
      </c>
      <c r="AK185" s="241" t="s">
        <v>539</v>
      </c>
      <c r="AL185" s="241" t="s">
        <v>538</v>
      </c>
      <c r="AM185" s="375">
        <f>2580240+1613998.68+2805760</f>
        <v>6999998.6799999997</v>
      </c>
      <c r="AN185" s="11"/>
      <c r="AQ185" s="402"/>
    </row>
    <row r="186" spans="1:43" ht="116.25" customHeight="1" x14ac:dyDescent="0.2">
      <c r="A186" s="9" t="s">
        <v>104</v>
      </c>
      <c r="B186" s="10" t="s">
        <v>1</v>
      </c>
      <c r="C186" s="10" t="s">
        <v>105</v>
      </c>
      <c r="D186" s="163" t="s">
        <v>18</v>
      </c>
      <c r="E186" s="17" t="s">
        <v>126</v>
      </c>
      <c r="F186" s="1" t="s">
        <v>181</v>
      </c>
      <c r="G186" s="17" t="s">
        <v>1</v>
      </c>
      <c r="H186" s="1" t="s">
        <v>458</v>
      </c>
      <c r="I186" s="11" t="s">
        <v>107</v>
      </c>
      <c r="J186" s="13">
        <v>3</v>
      </c>
      <c r="K186" s="13">
        <v>3</v>
      </c>
      <c r="L186" s="13">
        <v>9</v>
      </c>
      <c r="M186" s="13">
        <v>1</v>
      </c>
      <c r="N186" s="11" t="s">
        <v>24</v>
      </c>
      <c r="O186" s="251" t="s">
        <v>312</v>
      </c>
      <c r="P186" s="147">
        <v>6000000</v>
      </c>
      <c r="Q186" s="13">
        <v>0</v>
      </c>
      <c r="R186" s="13">
        <v>0</v>
      </c>
      <c r="S186" s="36" t="s">
        <v>313</v>
      </c>
      <c r="T186" s="36" t="s">
        <v>314</v>
      </c>
      <c r="U186" s="11" t="s">
        <v>22</v>
      </c>
      <c r="V186" s="11">
        <v>3846666</v>
      </c>
      <c r="W186" s="11" t="s">
        <v>23</v>
      </c>
      <c r="X186" s="1" t="s">
        <v>26</v>
      </c>
      <c r="Y186" s="1" t="s">
        <v>41</v>
      </c>
      <c r="Z186" s="11"/>
      <c r="AA186" s="11"/>
      <c r="AB186" s="153">
        <v>3000000</v>
      </c>
      <c r="AC186" s="21">
        <f t="shared" si="21"/>
        <v>3000000</v>
      </c>
      <c r="AD186" s="217">
        <v>4823</v>
      </c>
      <c r="AE186" s="324">
        <f>6000000-3000000</f>
        <v>3000000</v>
      </c>
      <c r="AF186" s="218">
        <f t="shared" si="19"/>
        <v>0</v>
      </c>
      <c r="AG186" s="241">
        <v>7223</v>
      </c>
      <c r="AH186" s="244">
        <v>44995</v>
      </c>
      <c r="AI186" s="344">
        <v>3000000</v>
      </c>
      <c r="AJ186" s="240">
        <f t="shared" si="20"/>
        <v>0</v>
      </c>
      <c r="AK186" s="241">
        <v>43</v>
      </c>
      <c r="AL186" s="241" t="s">
        <v>497</v>
      </c>
      <c r="AM186" s="376">
        <f>114000+114000+114000+114000+114000+1530100+114000+394750</f>
        <v>2608850</v>
      </c>
      <c r="AN186" s="11" t="s">
        <v>560</v>
      </c>
      <c r="AO186" s="8" t="s">
        <v>999</v>
      </c>
    </row>
    <row r="187" spans="1:43" ht="116.25" customHeight="1" x14ac:dyDescent="0.2">
      <c r="A187" s="9" t="s">
        <v>104</v>
      </c>
      <c r="B187" s="10" t="s">
        <v>1</v>
      </c>
      <c r="C187" s="10" t="s">
        <v>105</v>
      </c>
      <c r="D187" s="163" t="s">
        <v>18</v>
      </c>
      <c r="E187" s="17" t="s">
        <v>126</v>
      </c>
      <c r="F187" s="1" t="s">
        <v>181</v>
      </c>
      <c r="G187" s="17" t="s">
        <v>1</v>
      </c>
      <c r="H187" s="1" t="s">
        <v>896</v>
      </c>
      <c r="I187" s="11" t="s">
        <v>108</v>
      </c>
      <c r="J187" s="11" t="s">
        <v>904</v>
      </c>
      <c r="K187" s="11" t="s">
        <v>905</v>
      </c>
      <c r="L187" s="13">
        <v>1</v>
      </c>
      <c r="M187" s="13">
        <v>1</v>
      </c>
      <c r="N187" s="11" t="s">
        <v>24</v>
      </c>
      <c r="O187" s="251" t="s">
        <v>312</v>
      </c>
      <c r="P187" s="147">
        <v>1500000</v>
      </c>
      <c r="Q187" s="13">
        <v>0</v>
      </c>
      <c r="R187" s="13">
        <v>0</v>
      </c>
      <c r="S187" s="36" t="s">
        <v>313</v>
      </c>
      <c r="T187" s="36" t="s">
        <v>314</v>
      </c>
      <c r="U187" s="11" t="s">
        <v>22</v>
      </c>
      <c r="V187" s="11">
        <v>3846666</v>
      </c>
      <c r="W187" s="11" t="s">
        <v>23</v>
      </c>
      <c r="X187" s="1" t="s">
        <v>26</v>
      </c>
      <c r="Y187" s="1" t="s">
        <v>41</v>
      </c>
      <c r="Z187" s="11"/>
      <c r="AA187" s="11"/>
      <c r="AB187" s="11"/>
      <c r="AC187" s="21">
        <f t="shared" si="21"/>
        <v>1500000</v>
      </c>
      <c r="AD187" s="243">
        <v>33923</v>
      </c>
      <c r="AE187" s="236">
        <f>840932</f>
        <v>840932</v>
      </c>
      <c r="AF187" s="236">
        <f t="shared" si="19"/>
        <v>659068</v>
      </c>
      <c r="AG187" s="243">
        <v>39523</v>
      </c>
      <c r="AH187" s="368">
        <v>45278</v>
      </c>
      <c r="AI187" s="345">
        <v>714000</v>
      </c>
      <c r="AJ187" s="236">
        <f t="shared" si="20"/>
        <v>786000</v>
      </c>
      <c r="AK187" s="243" t="s">
        <v>951</v>
      </c>
      <c r="AL187" s="406" t="s">
        <v>950</v>
      </c>
      <c r="AM187" s="374"/>
      <c r="AN187" s="11"/>
      <c r="AO187" s="8" t="s">
        <v>999</v>
      </c>
    </row>
    <row r="188" spans="1:43" ht="116.25" customHeight="1" x14ac:dyDescent="0.2">
      <c r="A188" s="9" t="s">
        <v>104</v>
      </c>
      <c r="B188" s="10" t="s">
        <v>1</v>
      </c>
      <c r="C188" s="10" t="s">
        <v>105</v>
      </c>
      <c r="D188" s="163" t="s">
        <v>18</v>
      </c>
      <c r="E188" s="17" t="s">
        <v>126</v>
      </c>
      <c r="F188" s="1" t="s">
        <v>181</v>
      </c>
      <c r="G188" s="17" t="s">
        <v>1</v>
      </c>
      <c r="H188" s="1" t="s">
        <v>109</v>
      </c>
      <c r="I188" s="11">
        <v>72101511</v>
      </c>
      <c r="J188" s="13">
        <v>3</v>
      </c>
      <c r="K188" s="13">
        <v>3</v>
      </c>
      <c r="L188" s="13">
        <v>9</v>
      </c>
      <c r="M188" s="13">
        <v>1</v>
      </c>
      <c r="N188" s="11" t="s">
        <v>24</v>
      </c>
      <c r="O188" s="251" t="s">
        <v>312</v>
      </c>
      <c r="P188" s="147">
        <v>9000000</v>
      </c>
      <c r="Q188" s="13">
        <v>0</v>
      </c>
      <c r="R188" s="13">
        <v>0</v>
      </c>
      <c r="S188" s="36" t="s">
        <v>313</v>
      </c>
      <c r="T188" s="36" t="s">
        <v>314</v>
      </c>
      <c r="U188" s="11" t="s">
        <v>22</v>
      </c>
      <c r="V188" s="11">
        <v>3846666</v>
      </c>
      <c r="W188" s="11" t="s">
        <v>23</v>
      </c>
      <c r="X188" s="1" t="s">
        <v>26</v>
      </c>
      <c r="Y188" s="1" t="s">
        <v>41</v>
      </c>
      <c r="Z188" s="11"/>
      <c r="AA188" s="11"/>
      <c r="AB188" s="153">
        <v>3368900</v>
      </c>
      <c r="AC188" s="21">
        <f t="shared" si="21"/>
        <v>5631100</v>
      </c>
      <c r="AD188" s="217">
        <v>14423</v>
      </c>
      <c r="AE188" s="323">
        <f>9000000-3368900-141200</f>
        <v>5489900</v>
      </c>
      <c r="AF188" s="218">
        <f t="shared" si="19"/>
        <v>141200</v>
      </c>
      <c r="AG188" s="241">
        <v>19523</v>
      </c>
      <c r="AH188" s="244">
        <v>45082</v>
      </c>
      <c r="AI188" s="344">
        <f>5631100-141200</f>
        <v>5489900</v>
      </c>
      <c r="AJ188" s="240">
        <f t="shared" si="20"/>
        <v>141200</v>
      </c>
      <c r="AK188" s="241" t="s">
        <v>663</v>
      </c>
      <c r="AL188" s="245" t="s">
        <v>662</v>
      </c>
      <c r="AM188" s="375">
        <f>3332000+240000+1677900+240000</f>
        <v>5489900</v>
      </c>
      <c r="AN188" s="11" t="s">
        <v>557</v>
      </c>
      <c r="AQ188" s="402"/>
    </row>
    <row r="189" spans="1:43" ht="116.25" customHeight="1" x14ac:dyDescent="0.2">
      <c r="A189" s="9" t="s">
        <v>104</v>
      </c>
      <c r="B189" s="10" t="s">
        <v>1</v>
      </c>
      <c r="C189" s="10" t="s">
        <v>105</v>
      </c>
      <c r="D189" s="163" t="s">
        <v>18</v>
      </c>
      <c r="E189" s="17" t="s">
        <v>126</v>
      </c>
      <c r="F189" s="1" t="s">
        <v>181</v>
      </c>
      <c r="G189" s="17" t="s">
        <v>1</v>
      </c>
      <c r="H189" s="1" t="s">
        <v>857</v>
      </c>
      <c r="I189" s="11">
        <v>72101509</v>
      </c>
      <c r="J189" s="13">
        <v>10</v>
      </c>
      <c r="K189" s="13">
        <v>10</v>
      </c>
      <c r="L189" s="13">
        <v>1</v>
      </c>
      <c r="M189" s="13">
        <v>1</v>
      </c>
      <c r="N189" s="11" t="s">
        <v>24</v>
      </c>
      <c r="O189" s="251" t="s">
        <v>312</v>
      </c>
      <c r="P189" s="147">
        <v>1500000</v>
      </c>
      <c r="Q189" s="13">
        <v>0</v>
      </c>
      <c r="R189" s="13">
        <v>0</v>
      </c>
      <c r="S189" s="36" t="s">
        <v>313</v>
      </c>
      <c r="T189" s="36" t="s">
        <v>314</v>
      </c>
      <c r="U189" s="11" t="s">
        <v>22</v>
      </c>
      <c r="V189" s="11">
        <v>3846666</v>
      </c>
      <c r="W189" s="11" t="s">
        <v>23</v>
      </c>
      <c r="X189" s="1" t="s">
        <v>26</v>
      </c>
      <c r="Y189" s="1" t="s">
        <v>41</v>
      </c>
      <c r="Z189" s="11"/>
      <c r="AA189" s="11"/>
      <c r="AB189" s="11"/>
      <c r="AC189" s="21">
        <f t="shared" si="21"/>
        <v>1500000</v>
      </c>
      <c r="AD189" s="243">
        <v>31423</v>
      </c>
      <c r="AE189" s="243">
        <v>1500000</v>
      </c>
      <c r="AF189" s="236">
        <f t="shared" si="19"/>
        <v>0</v>
      </c>
      <c r="AG189" s="243">
        <v>39023</v>
      </c>
      <c r="AH189" s="368">
        <v>45272</v>
      </c>
      <c r="AI189" s="345">
        <v>900000</v>
      </c>
      <c r="AJ189" s="236">
        <f t="shared" si="20"/>
        <v>600000</v>
      </c>
      <c r="AK189" s="243" t="s">
        <v>935</v>
      </c>
      <c r="AL189" s="243" t="s">
        <v>934</v>
      </c>
      <c r="AM189" s="236">
        <v>900000</v>
      </c>
      <c r="AN189" s="11"/>
      <c r="AQ189" s="402"/>
    </row>
    <row r="190" spans="1:43" ht="116.25" customHeight="1" x14ac:dyDescent="0.2">
      <c r="A190" s="9" t="s">
        <v>104</v>
      </c>
      <c r="B190" s="10" t="s">
        <v>1</v>
      </c>
      <c r="C190" s="10" t="s">
        <v>105</v>
      </c>
      <c r="D190" s="163" t="s">
        <v>18</v>
      </c>
      <c r="E190" s="17" t="s">
        <v>126</v>
      </c>
      <c r="F190" s="1" t="s">
        <v>181</v>
      </c>
      <c r="G190" s="17" t="s">
        <v>1</v>
      </c>
      <c r="H190" s="1" t="s">
        <v>110</v>
      </c>
      <c r="I190" s="11" t="s">
        <v>1</v>
      </c>
      <c r="J190" s="13" t="s">
        <v>53</v>
      </c>
      <c r="K190" s="13" t="s">
        <v>53</v>
      </c>
      <c r="L190" s="13" t="s">
        <v>53</v>
      </c>
      <c r="M190" s="13" t="s">
        <v>53</v>
      </c>
      <c r="N190" s="11" t="s">
        <v>45</v>
      </c>
      <c r="O190" s="251" t="s">
        <v>312</v>
      </c>
      <c r="P190" s="147">
        <v>3000000</v>
      </c>
      <c r="Q190" s="13">
        <v>0</v>
      </c>
      <c r="R190" s="13">
        <v>0</v>
      </c>
      <c r="S190" s="36" t="s">
        <v>313</v>
      </c>
      <c r="T190" s="36" t="s">
        <v>314</v>
      </c>
      <c r="U190" s="11" t="s">
        <v>22</v>
      </c>
      <c r="V190" s="11">
        <v>3846666</v>
      </c>
      <c r="W190" s="11" t="s">
        <v>23</v>
      </c>
      <c r="X190" s="1" t="s">
        <v>46</v>
      </c>
      <c r="Y190" s="1" t="s">
        <v>41</v>
      </c>
      <c r="Z190" s="11"/>
      <c r="AA190" s="11"/>
      <c r="AB190" s="153">
        <f>149437.5+915000</f>
        <v>1064437.5</v>
      </c>
      <c r="AC190" s="21">
        <f t="shared" si="21"/>
        <v>1935562.5</v>
      </c>
      <c r="AD190" s="199" t="s">
        <v>789</v>
      </c>
      <c r="AE190" s="322">
        <f>300000+300000+286700+164577.5+299285+285000</f>
        <v>1635562.5</v>
      </c>
      <c r="AF190" s="218">
        <f t="shared" si="19"/>
        <v>300000</v>
      </c>
      <c r="AG190" s="245" t="s">
        <v>794</v>
      </c>
      <c r="AH190" s="255" t="s">
        <v>795</v>
      </c>
      <c r="AI190" s="240">
        <f>300000+300000+286700+164577.5+299285+285000</f>
        <v>1635562.5</v>
      </c>
      <c r="AJ190" s="240">
        <f t="shared" si="20"/>
        <v>300000</v>
      </c>
      <c r="AK190" s="245" t="s">
        <v>796</v>
      </c>
      <c r="AL190" s="245" t="s">
        <v>46</v>
      </c>
      <c r="AM190" s="375">
        <f>300000+300000+286700+164577.5+299285+285000</f>
        <v>1635562.5</v>
      </c>
      <c r="AN190" s="11" t="s">
        <v>816</v>
      </c>
      <c r="AQ190" s="402"/>
    </row>
    <row r="191" spans="1:43" ht="116.25" customHeight="1" x14ac:dyDescent="0.2">
      <c r="A191" s="9" t="s">
        <v>104</v>
      </c>
      <c r="B191" s="10" t="s">
        <v>1</v>
      </c>
      <c r="C191" s="10" t="s">
        <v>105</v>
      </c>
      <c r="D191" s="163" t="s">
        <v>18</v>
      </c>
      <c r="E191" s="17" t="s">
        <v>126</v>
      </c>
      <c r="F191" s="1" t="s">
        <v>181</v>
      </c>
      <c r="G191" s="17" t="s">
        <v>1</v>
      </c>
      <c r="H191" s="1" t="s">
        <v>187</v>
      </c>
      <c r="I191" s="11" t="s">
        <v>111</v>
      </c>
      <c r="J191" s="13">
        <v>4</v>
      </c>
      <c r="K191" s="13">
        <v>4</v>
      </c>
      <c r="L191" s="13">
        <v>8</v>
      </c>
      <c r="M191" s="13">
        <v>1</v>
      </c>
      <c r="N191" s="11" t="s">
        <v>24</v>
      </c>
      <c r="O191" s="251" t="s">
        <v>312</v>
      </c>
      <c r="P191" s="147">
        <v>5000000</v>
      </c>
      <c r="Q191" s="13">
        <v>0</v>
      </c>
      <c r="R191" s="13">
        <v>0</v>
      </c>
      <c r="S191" s="36" t="s">
        <v>313</v>
      </c>
      <c r="T191" s="36" t="s">
        <v>314</v>
      </c>
      <c r="U191" s="11" t="s">
        <v>22</v>
      </c>
      <c r="V191" s="11">
        <v>3846666</v>
      </c>
      <c r="W191" s="11" t="s">
        <v>23</v>
      </c>
      <c r="X191" s="1" t="s">
        <v>26</v>
      </c>
      <c r="Y191" s="1" t="s">
        <v>41</v>
      </c>
      <c r="Z191" s="11"/>
      <c r="AA191" s="11"/>
      <c r="AB191" s="11"/>
      <c r="AC191" s="21">
        <f t="shared" si="21"/>
        <v>5000000</v>
      </c>
      <c r="AD191" s="217">
        <v>22523</v>
      </c>
      <c r="AE191" s="324">
        <v>3744532</v>
      </c>
      <c r="AF191" s="218">
        <f t="shared" si="19"/>
        <v>1255468</v>
      </c>
      <c r="AG191" s="241">
        <v>34923</v>
      </c>
      <c r="AH191" s="391">
        <v>45223</v>
      </c>
      <c r="AI191" s="344">
        <v>3522400</v>
      </c>
      <c r="AJ191" s="240">
        <f t="shared" si="20"/>
        <v>1477600</v>
      </c>
      <c r="AK191" s="241">
        <v>141</v>
      </c>
      <c r="AL191" s="241" t="s">
        <v>862</v>
      </c>
      <c r="AM191" s="378">
        <v>3122560</v>
      </c>
      <c r="AN191" s="12"/>
      <c r="AO191" s="8" t="s">
        <v>998</v>
      </c>
      <c r="AP191" s="402"/>
    </row>
    <row r="192" spans="1:43" ht="116.25" customHeight="1" x14ac:dyDescent="0.2">
      <c r="A192" s="9" t="s">
        <v>104</v>
      </c>
      <c r="B192" s="10" t="s">
        <v>1</v>
      </c>
      <c r="C192" s="10" t="s">
        <v>105</v>
      </c>
      <c r="D192" s="163" t="s">
        <v>18</v>
      </c>
      <c r="E192" s="17" t="s">
        <v>126</v>
      </c>
      <c r="F192" s="1" t="s">
        <v>181</v>
      </c>
      <c r="G192" s="17" t="s">
        <v>1</v>
      </c>
      <c r="H192" s="1" t="s">
        <v>112</v>
      </c>
      <c r="I192" s="11" t="s">
        <v>113</v>
      </c>
      <c r="J192" s="13">
        <v>4</v>
      </c>
      <c r="K192" s="13">
        <v>4</v>
      </c>
      <c r="L192" s="13">
        <v>8</v>
      </c>
      <c r="M192" s="13">
        <v>1</v>
      </c>
      <c r="N192" s="11" t="s">
        <v>24</v>
      </c>
      <c r="O192" s="251" t="s">
        <v>312</v>
      </c>
      <c r="P192" s="147">
        <v>3500000</v>
      </c>
      <c r="Q192" s="13">
        <v>0</v>
      </c>
      <c r="R192" s="13">
        <v>0</v>
      </c>
      <c r="S192" s="36" t="s">
        <v>313</v>
      </c>
      <c r="T192" s="36" t="s">
        <v>314</v>
      </c>
      <c r="U192" s="11" t="s">
        <v>22</v>
      </c>
      <c r="V192" s="11">
        <v>3846666</v>
      </c>
      <c r="W192" s="11" t="s">
        <v>23</v>
      </c>
      <c r="X192" s="1" t="s">
        <v>26</v>
      </c>
      <c r="Y192" s="1" t="s">
        <v>41</v>
      </c>
      <c r="Z192" s="11"/>
      <c r="AA192" s="11"/>
      <c r="AB192" s="11"/>
      <c r="AC192" s="21">
        <f t="shared" si="21"/>
        <v>3500000</v>
      </c>
      <c r="AD192" s="217">
        <v>9923</v>
      </c>
      <c r="AE192" s="324">
        <v>3500000</v>
      </c>
      <c r="AF192" s="218">
        <f t="shared" si="19"/>
        <v>0</v>
      </c>
      <c r="AG192" s="241">
        <v>15223</v>
      </c>
      <c r="AH192" s="244">
        <v>45056</v>
      </c>
      <c r="AI192" s="288">
        <v>3500000</v>
      </c>
      <c r="AJ192" s="240">
        <f t="shared" si="20"/>
        <v>0</v>
      </c>
      <c r="AK192" s="241" t="s">
        <v>599</v>
      </c>
      <c r="AL192" s="241" t="s">
        <v>600</v>
      </c>
      <c r="AM192" s="371">
        <f>1616910+441921+667601+748740</f>
        <v>3475172</v>
      </c>
      <c r="AN192" s="12"/>
      <c r="AQ192" s="402"/>
    </row>
    <row r="193" spans="1:43" ht="197.25" customHeight="1" x14ac:dyDescent="0.2">
      <c r="A193" s="20" t="s">
        <v>104</v>
      </c>
      <c r="B193" s="10" t="s">
        <v>1</v>
      </c>
      <c r="C193" s="10" t="s">
        <v>301</v>
      </c>
      <c r="D193" s="163" t="s">
        <v>18</v>
      </c>
      <c r="E193" s="17" t="s">
        <v>159</v>
      </c>
      <c r="F193" s="17" t="s">
        <v>188</v>
      </c>
      <c r="G193" s="17" t="s">
        <v>1</v>
      </c>
      <c r="H193" s="18" t="s">
        <v>944</v>
      </c>
      <c r="I193" s="4" t="s">
        <v>946</v>
      </c>
      <c r="J193" s="4">
        <v>12</v>
      </c>
      <c r="K193" s="4">
        <v>12</v>
      </c>
      <c r="L193" s="4">
        <v>1</v>
      </c>
      <c r="M193" s="13">
        <v>1</v>
      </c>
      <c r="N193" s="4" t="s">
        <v>24</v>
      </c>
      <c r="O193" s="13" t="s">
        <v>312</v>
      </c>
      <c r="P193" s="147">
        <v>20000000</v>
      </c>
      <c r="Q193" s="13">
        <v>0</v>
      </c>
      <c r="R193" s="13">
        <v>0</v>
      </c>
      <c r="S193" s="36" t="s">
        <v>313</v>
      </c>
      <c r="T193" s="36" t="s">
        <v>314</v>
      </c>
      <c r="U193" s="11" t="s">
        <v>141</v>
      </c>
      <c r="V193" s="11">
        <v>3846666</v>
      </c>
      <c r="W193" s="6" t="s">
        <v>142</v>
      </c>
      <c r="X193" s="11" t="s">
        <v>26</v>
      </c>
      <c r="Y193" s="2" t="s">
        <v>174</v>
      </c>
      <c r="Z193" s="11"/>
      <c r="AA193" s="153">
        <v>1369426.56</v>
      </c>
      <c r="AB193" s="334">
        <f>6000000+3824616+3625973+3184159+3956500</f>
        <v>20591248</v>
      </c>
      <c r="AC193" s="155">
        <f t="shared" si="21"/>
        <v>778178.55999999866</v>
      </c>
      <c r="AD193" s="226"/>
      <c r="AE193" s="226"/>
      <c r="AF193" s="225">
        <f t="shared" si="19"/>
        <v>778178.55999999866</v>
      </c>
      <c r="AG193" s="243"/>
      <c r="AH193" s="243"/>
      <c r="AI193" s="345"/>
      <c r="AJ193" s="236">
        <f t="shared" si="20"/>
        <v>778178.55999999866</v>
      </c>
      <c r="AK193" s="243"/>
      <c r="AL193" s="243"/>
      <c r="AM193" s="374"/>
      <c r="AN193" s="13" t="s">
        <v>815</v>
      </c>
      <c r="AQ193" s="402"/>
    </row>
    <row r="194" spans="1:43" ht="172.5" customHeight="1" x14ac:dyDescent="0.2">
      <c r="A194" s="20" t="s">
        <v>104</v>
      </c>
      <c r="B194" s="10" t="s">
        <v>1</v>
      </c>
      <c r="C194" s="10" t="s">
        <v>301</v>
      </c>
      <c r="D194" s="163" t="s">
        <v>18</v>
      </c>
      <c r="E194" s="17" t="s">
        <v>159</v>
      </c>
      <c r="F194" s="17" t="s">
        <v>188</v>
      </c>
      <c r="G194" s="17" t="s">
        <v>1</v>
      </c>
      <c r="H194" s="4" t="s">
        <v>945</v>
      </c>
      <c r="I194" s="4" t="s">
        <v>946</v>
      </c>
      <c r="J194" s="4">
        <v>12</v>
      </c>
      <c r="K194" s="4">
        <v>12</v>
      </c>
      <c r="L194" s="4">
        <v>1</v>
      </c>
      <c r="M194" s="13">
        <v>1</v>
      </c>
      <c r="N194" s="4" t="s">
        <v>24</v>
      </c>
      <c r="O194" s="13" t="s">
        <v>312</v>
      </c>
      <c r="P194" s="147">
        <v>10000000</v>
      </c>
      <c r="Q194" s="13">
        <v>0</v>
      </c>
      <c r="R194" s="13">
        <v>0</v>
      </c>
      <c r="S194" s="36" t="s">
        <v>313</v>
      </c>
      <c r="T194" s="36" t="s">
        <v>314</v>
      </c>
      <c r="U194" s="11" t="s">
        <v>141</v>
      </c>
      <c r="V194" s="11">
        <v>3846666</v>
      </c>
      <c r="W194" s="6" t="s">
        <v>142</v>
      </c>
      <c r="X194" s="11" t="s">
        <v>26</v>
      </c>
      <c r="Y194" s="2" t="s">
        <v>174</v>
      </c>
      <c r="Z194" s="11"/>
      <c r="AA194" s="11"/>
      <c r="AB194" s="262">
        <v>3184159</v>
      </c>
      <c r="AC194" s="155">
        <f t="shared" si="21"/>
        <v>6815841</v>
      </c>
      <c r="AD194" s="226"/>
      <c r="AE194" s="226"/>
      <c r="AF194" s="225">
        <f t="shared" si="19"/>
        <v>6815841</v>
      </c>
      <c r="AG194" s="243"/>
      <c r="AH194" s="243"/>
      <c r="AI194" s="345"/>
      <c r="AJ194" s="236">
        <f t="shared" si="20"/>
        <v>6815841</v>
      </c>
      <c r="AK194" s="243"/>
      <c r="AL194" s="243"/>
      <c r="AM194" s="374"/>
      <c r="AN194" s="13" t="s">
        <v>815</v>
      </c>
      <c r="AQ194" s="402"/>
    </row>
    <row r="195" spans="1:43" ht="116.25" customHeight="1" x14ac:dyDescent="0.2">
      <c r="A195" s="20" t="s">
        <v>95</v>
      </c>
      <c r="B195" s="10" t="s">
        <v>1</v>
      </c>
      <c r="C195" s="10" t="s">
        <v>302</v>
      </c>
      <c r="D195" s="163" t="s">
        <v>18</v>
      </c>
      <c r="E195" s="17" t="s">
        <v>159</v>
      </c>
      <c r="F195" s="17" t="s">
        <v>188</v>
      </c>
      <c r="G195" s="17" t="s">
        <v>1</v>
      </c>
      <c r="H195" s="4" t="s">
        <v>164</v>
      </c>
      <c r="I195" s="4">
        <v>81112100</v>
      </c>
      <c r="J195" s="3">
        <v>4</v>
      </c>
      <c r="K195" s="3">
        <v>4</v>
      </c>
      <c r="L195" s="3">
        <v>8</v>
      </c>
      <c r="M195" s="13">
        <v>1</v>
      </c>
      <c r="N195" s="4" t="s">
        <v>24</v>
      </c>
      <c r="O195" s="13" t="s">
        <v>312</v>
      </c>
      <c r="P195" s="147">
        <v>10000000</v>
      </c>
      <c r="Q195" s="13">
        <v>0</v>
      </c>
      <c r="R195" s="13">
        <v>0</v>
      </c>
      <c r="S195" s="36" t="s">
        <v>313</v>
      </c>
      <c r="T195" s="36" t="s">
        <v>314</v>
      </c>
      <c r="U195" s="11" t="s">
        <v>141</v>
      </c>
      <c r="V195" s="11">
        <v>3846666</v>
      </c>
      <c r="W195" s="6" t="s">
        <v>142</v>
      </c>
      <c r="X195" s="11" t="s">
        <v>26</v>
      </c>
      <c r="Y195" s="11" t="s">
        <v>152</v>
      </c>
      <c r="Z195" s="11"/>
      <c r="AA195" s="11"/>
      <c r="AB195" s="153">
        <v>1369426.56</v>
      </c>
      <c r="AC195" s="155">
        <f t="shared" si="21"/>
        <v>8630573.4399999995</v>
      </c>
      <c r="AD195" s="195">
        <v>9223</v>
      </c>
      <c r="AE195" s="196">
        <v>8630573.4399999995</v>
      </c>
      <c r="AF195" s="210">
        <f t="shared" si="19"/>
        <v>0</v>
      </c>
      <c r="AG195" s="241">
        <v>10723</v>
      </c>
      <c r="AH195" s="244">
        <v>45016</v>
      </c>
      <c r="AI195" s="346">
        <v>8630573.4399999995</v>
      </c>
      <c r="AJ195" s="240">
        <f t="shared" si="20"/>
        <v>0</v>
      </c>
      <c r="AK195" s="241" t="s">
        <v>502</v>
      </c>
      <c r="AL195" s="245" t="s">
        <v>503</v>
      </c>
      <c r="AM195" s="371">
        <f>1078821.68+1078821.68+1078821.68+1078821.68+1078821.68+1078821.68+1078821.68+1078821.68</f>
        <v>8630573.4399999995</v>
      </c>
      <c r="AN195" s="13" t="s">
        <v>815</v>
      </c>
      <c r="AQ195" s="402"/>
    </row>
    <row r="196" spans="1:43" ht="116.25" customHeight="1" x14ac:dyDescent="0.2">
      <c r="A196" s="20" t="s">
        <v>95</v>
      </c>
      <c r="B196" s="10" t="s">
        <v>1</v>
      </c>
      <c r="C196" s="10" t="s">
        <v>302</v>
      </c>
      <c r="D196" s="163" t="s">
        <v>18</v>
      </c>
      <c r="E196" s="17" t="s">
        <v>159</v>
      </c>
      <c r="F196" s="17" t="s">
        <v>188</v>
      </c>
      <c r="G196" s="17" t="s">
        <v>1</v>
      </c>
      <c r="H196" s="4" t="s">
        <v>165</v>
      </c>
      <c r="I196" s="4">
        <v>81112100</v>
      </c>
      <c r="J196" s="3">
        <v>1</v>
      </c>
      <c r="K196" s="3">
        <v>1</v>
      </c>
      <c r="L196" s="3">
        <v>4</v>
      </c>
      <c r="M196" s="13">
        <v>1</v>
      </c>
      <c r="N196" s="4" t="s">
        <v>24</v>
      </c>
      <c r="O196" s="13" t="s">
        <v>312</v>
      </c>
      <c r="P196" s="147">
        <v>1672980</v>
      </c>
      <c r="Q196" s="13">
        <v>1</v>
      </c>
      <c r="R196" s="13">
        <v>3</v>
      </c>
      <c r="S196" s="36" t="s">
        <v>313</v>
      </c>
      <c r="T196" s="36" t="s">
        <v>314</v>
      </c>
      <c r="U196" s="11" t="s">
        <v>141</v>
      </c>
      <c r="V196" s="11">
        <v>3846666</v>
      </c>
      <c r="W196" s="6" t="s">
        <v>142</v>
      </c>
      <c r="X196" s="11" t="s">
        <v>26</v>
      </c>
      <c r="Y196" s="11" t="s">
        <v>152</v>
      </c>
      <c r="Z196" s="11"/>
      <c r="AA196" s="11"/>
      <c r="AB196" s="11"/>
      <c r="AC196" s="155">
        <f t="shared" si="21"/>
        <v>1672980</v>
      </c>
      <c r="AD196" s="195">
        <v>423</v>
      </c>
      <c r="AE196" s="196">
        <v>1672980</v>
      </c>
      <c r="AF196" s="210">
        <f t="shared" si="19"/>
        <v>0</v>
      </c>
      <c r="AG196" s="241">
        <v>423</v>
      </c>
      <c r="AH196" s="244">
        <v>44932</v>
      </c>
      <c r="AI196" s="344">
        <v>1672980</v>
      </c>
      <c r="AJ196" s="240">
        <f t="shared" si="20"/>
        <v>0</v>
      </c>
      <c r="AK196" s="241"/>
      <c r="AL196" s="245" t="s">
        <v>444</v>
      </c>
      <c r="AM196" s="376">
        <f>418245+418245+418245+418245</f>
        <v>1672980</v>
      </c>
      <c r="AN196" s="12"/>
      <c r="AQ196" s="402"/>
    </row>
    <row r="197" spans="1:43" ht="116.25" customHeight="1" x14ac:dyDescent="0.2">
      <c r="A197" s="9" t="s">
        <v>114</v>
      </c>
      <c r="B197" s="10" t="s">
        <v>1</v>
      </c>
      <c r="C197" s="10" t="s">
        <v>115</v>
      </c>
      <c r="D197" s="162" t="s">
        <v>19</v>
      </c>
      <c r="E197" s="17" t="s">
        <v>126</v>
      </c>
      <c r="F197" s="1" t="s">
        <v>181</v>
      </c>
      <c r="G197" s="17" t="s">
        <v>1</v>
      </c>
      <c r="H197" s="11" t="s">
        <v>116</v>
      </c>
      <c r="I197" s="11" t="s">
        <v>1</v>
      </c>
      <c r="J197" s="13" t="s">
        <v>53</v>
      </c>
      <c r="K197" s="13" t="s">
        <v>53</v>
      </c>
      <c r="L197" s="13" t="s">
        <v>53</v>
      </c>
      <c r="M197" s="13" t="s">
        <v>53</v>
      </c>
      <c r="N197" s="11" t="s">
        <v>45</v>
      </c>
      <c r="O197" s="13" t="s">
        <v>385</v>
      </c>
      <c r="P197" s="147">
        <v>4286184</v>
      </c>
      <c r="Q197" s="13">
        <v>0</v>
      </c>
      <c r="R197" s="13">
        <v>0</v>
      </c>
      <c r="S197" s="36" t="s">
        <v>313</v>
      </c>
      <c r="T197" s="36" t="s">
        <v>314</v>
      </c>
      <c r="U197" s="11" t="s">
        <v>22</v>
      </c>
      <c r="V197" s="11">
        <v>3846666</v>
      </c>
      <c r="W197" s="11" t="s">
        <v>23</v>
      </c>
      <c r="X197" s="11" t="s">
        <v>26</v>
      </c>
      <c r="Y197" s="11" t="s">
        <v>41</v>
      </c>
      <c r="Z197" s="11"/>
      <c r="AA197" s="11"/>
      <c r="AB197" s="11"/>
      <c r="AC197" s="155">
        <f t="shared" si="21"/>
        <v>4286184</v>
      </c>
      <c r="AD197" s="223" t="s">
        <v>838</v>
      </c>
      <c r="AE197" s="210">
        <f>338600+356720+413080+454260+489410+500870+460010+41260+406470+825504</f>
        <v>4286184</v>
      </c>
      <c r="AF197" s="210">
        <f t="shared" si="19"/>
        <v>0</v>
      </c>
      <c r="AG197" s="245" t="s">
        <v>840</v>
      </c>
      <c r="AH197" s="255" t="s">
        <v>841</v>
      </c>
      <c r="AI197" s="348">
        <f>338600+356720+413080+454260+489410+500870+460010+41260+406470+825504</f>
        <v>4286184</v>
      </c>
      <c r="AJ197" s="240">
        <f t="shared" si="20"/>
        <v>0</v>
      </c>
      <c r="AK197" s="241" t="s">
        <v>53</v>
      </c>
      <c r="AL197" s="245" t="s">
        <v>472</v>
      </c>
      <c r="AM197" s="380">
        <f>338600+356720+413080+454260+489410+500870+460010+41260+406470+825504</f>
        <v>4286184</v>
      </c>
      <c r="AN197" s="12"/>
      <c r="AQ197" s="402"/>
    </row>
    <row r="198" spans="1:43" ht="116.25" customHeight="1" x14ac:dyDescent="0.2">
      <c r="A198" s="9" t="s">
        <v>114</v>
      </c>
      <c r="B198" s="10" t="s">
        <v>1</v>
      </c>
      <c r="C198" s="10" t="s">
        <v>115</v>
      </c>
      <c r="D198" s="162" t="s">
        <v>19</v>
      </c>
      <c r="E198" s="17" t="s">
        <v>126</v>
      </c>
      <c r="F198" s="1" t="s">
        <v>181</v>
      </c>
      <c r="G198" s="17" t="s">
        <v>1</v>
      </c>
      <c r="H198" s="11" t="s">
        <v>116</v>
      </c>
      <c r="I198" s="11" t="s">
        <v>1</v>
      </c>
      <c r="J198" s="13" t="s">
        <v>53</v>
      </c>
      <c r="K198" s="13" t="s">
        <v>53</v>
      </c>
      <c r="L198" s="13" t="s">
        <v>53</v>
      </c>
      <c r="M198" s="13" t="s">
        <v>53</v>
      </c>
      <c r="N198" s="11" t="s">
        <v>45</v>
      </c>
      <c r="O198" s="13" t="s">
        <v>312</v>
      </c>
      <c r="P198" s="147">
        <v>0</v>
      </c>
      <c r="Q198" s="13">
        <v>0</v>
      </c>
      <c r="R198" s="13">
        <v>0</v>
      </c>
      <c r="S198" s="36" t="s">
        <v>313</v>
      </c>
      <c r="T198" s="36" t="s">
        <v>314</v>
      </c>
      <c r="U198" s="11" t="s">
        <v>22</v>
      </c>
      <c r="V198" s="11">
        <v>3846666</v>
      </c>
      <c r="W198" s="11" t="s">
        <v>23</v>
      </c>
      <c r="X198" s="11" t="s">
        <v>26</v>
      </c>
      <c r="Y198" s="11" t="s">
        <v>41</v>
      </c>
      <c r="Z198" s="153">
        <v>256766</v>
      </c>
      <c r="AA198" s="153">
        <f>1020000+1470970</f>
        <v>2490970</v>
      </c>
      <c r="AB198" s="11"/>
      <c r="AC198" s="155">
        <f>P198+Z198+AA198-AB198</f>
        <v>2747736</v>
      </c>
      <c r="AD198" s="392" t="s">
        <v>928</v>
      </c>
      <c r="AE198" s="225">
        <f>47736+37950+415140</f>
        <v>500826</v>
      </c>
      <c r="AF198" s="225">
        <f>+AC198-AE198</f>
        <v>2246910</v>
      </c>
      <c r="AG198" s="393" t="s">
        <v>929</v>
      </c>
      <c r="AH198" s="364" t="s">
        <v>930</v>
      </c>
      <c r="AI198" s="225">
        <f>47736+37950+415140</f>
        <v>500826</v>
      </c>
      <c r="AJ198" s="236">
        <f>+AC198-AI198</f>
        <v>2246910</v>
      </c>
      <c r="AK198" s="241" t="s">
        <v>53</v>
      </c>
      <c r="AL198" s="245" t="s">
        <v>472</v>
      </c>
      <c r="AM198" s="380">
        <f>47736+37950+315495+99645</f>
        <v>500826</v>
      </c>
      <c r="AN198" s="13" t="s">
        <v>815</v>
      </c>
      <c r="AQ198" s="402"/>
    </row>
    <row r="199" spans="1:43" ht="116.25" customHeight="1" x14ac:dyDescent="0.2">
      <c r="A199" s="9" t="s">
        <v>114</v>
      </c>
      <c r="B199" s="10" t="s">
        <v>1</v>
      </c>
      <c r="C199" s="10" t="s">
        <v>115</v>
      </c>
      <c r="D199" s="162" t="s">
        <v>19</v>
      </c>
      <c r="E199" s="17" t="s">
        <v>126</v>
      </c>
      <c r="F199" s="1" t="s">
        <v>181</v>
      </c>
      <c r="G199" s="17" t="s">
        <v>1</v>
      </c>
      <c r="H199" s="11" t="s">
        <v>669</v>
      </c>
      <c r="I199" s="11" t="s">
        <v>672</v>
      </c>
      <c r="J199" s="1" t="s">
        <v>670</v>
      </c>
      <c r="K199" s="1" t="s">
        <v>670</v>
      </c>
      <c r="L199" s="1" t="s">
        <v>671</v>
      </c>
      <c r="M199" s="1">
        <v>1</v>
      </c>
      <c r="N199" s="11" t="s">
        <v>24</v>
      </c>
      <c r="O199" s="13" t="s">
        <v>312</v>
      </c>
      <c r="P199" s="147">
        <v>200000</v>
      </c>
      <c r="Q199" s="13">
        <v>0</v>
      </c>
      <c r="R199" s="13">
        <v>0</v>
      </c>
      <c r="S199" s="36" t="s">
        <v>313</v>
      </c>
      <c r="T199" s="36" t="s">
        <v>314</v>
      </c>
      <c r="U199" s="11" t="s">
        <v>22</v>
      </c>
      <c r="V199" s="11">
        <v>3846666</v>
      </c>
      <c r="W199" s="11" t="s">
        <v>23</v>
      </c>
      <c r="X199" s="11" t="s">
        <v>26</v>
      </c>
      <c r="Y199" s="11" t="s">
        <v>41</v>
      </c>
      <c r="Z199" s="11"/>
      <c r="AA199" s="153">
        <v>2124624</v>
      </c>
      <c r="AB199" s="153">
        <f>84536+1145288</f>
        <v>1229824</v>
      </c>
      <c r="AC199" s="155">
        <f t="shared" si="21"/>
        <v>1094800</v>
      </c>
      <c r="AD199" s="195">
        <v>20023</v>
      </c>
      <c r="AE199" s="196">
        <f>2240088-1145288</f>
        <v>1094800</v>
      </c>
      <c r="AF199" s="210">
        <f t="shared" si="19"/>
        <v>0</v>
      </c>
      <c r="AG199" s="241">
        <v>27723</v>
      </c>
      <c r="AH199" s="244">
        <v>45166</v>
      </c>
      <c r="AI199" s="348">
        <v>1094800</v>
      </c>
      <c r="AJ199" s="240">
        <f t="shared" si="20"/>
        <v>0</v>
      </c>
      <c r="AK199" s="241" t="s">
        <v>792</v>
      </c>
      <c r="AL199" s="245" t="s">
        <v>793</v>
      </c>
      <c r="AM199" s="380">
        <f>773500+321300</f>
        <v>1094800</v>
      </c>
      <c r="AN199" s="11" t="s">
        <v>836</v>
      </c>
      <c r="AO199" s="339"/>
      <c r="AQ199" s="402"/>
    </row>
    <row r="200" spans="1:43" ht="116.25" customHeight="1" x14ac:dyDescent="0.2">
      <c r="A200" s="168" t="s">
        <v>723</v>
      </c>
      <c r="B200" s="10" t="s">
        <v>1</v>
      </c>
      <c r="C200" s="5" t="s">
        <v>303</v>
      </c>
      <c r="D200" s="165" t="s">
        <v>19</v>
      </c>
      <c r="E200" s="17" t="s">
        <v>32</v>
      </c>
      <c r="F200" s="17" t="s">
        <v>186</v>
      </c>
      <c r="G200" s="17" t="s">
        <v>1</v>
      </c>
      <c r="H200" s="4" t="s">
        <v>14</v>
      </c>
      <c r="I200" s="4">
        <v>93141506</v>
      </c>
      <c r="J200" s="4">
        <v>6</v>
      </c>
      <c r="K200" s="4">
        <v>6</v>
      </c>
      <c r="L200" s="4">
        <v>3</v>
      </c>
      <c r="M200" s="4">
        <v>1</v>
      </c>
      <c r="N200" s="4" t="s">
        <v>24</v>
      </c>
      <c r="O200" s="13" t="s">
        <v>312</v>
      </c>
      <c r="P200" s="149">
        <v>6180000</v>
      </c>
      <c r="Q200" s="13">
        <v>0</v>
      </c>
      <c r="R200" s="13">
        <v>0</v>
      </c>
      <c r="S200" s="36" t="s">
        <v>313</v>
      </c>
      <c r="T200" s="36" t="s">
        <v>314</v>
      </c>
      <c r="U200" s="1" t="s">
        <v>22</v>
      </c>
      <c r="V200" s="1">
        <v>3846666</v>
      </c>
      <c r="W200" s="6" t="s">
        <v>23</v>
      </c>
      <c r="X200" s="4" t="s">
        <v>26</v>
      </c>
      <c r="Y200" s="2" t="s">
        <v>30</v>
      </c>
      <c r="Z200" s="2"/>
      <c r="AA200" s="2"/>
      <c r="AB200" s="2"/>
      <c r="AC200" s="155">
        <f t="shared" si="21"/>
        <v>6180000</v>
      </c>
      <c r="AD200" s="195">
        <v>21923</v>
      </c>
      <c r="AE200" s="201">
        <v>6180000</v>
      </c>
      <c r="AF200" s="210">
        <f t="shared" si="19"/>
        <v>0</v>
      </c>
      <c r="AG200" s="241">
        <v>26823</v>
      </c>
      <c r="AH200" s="244">
        <v>45154</v>
      </c>
      <c r="AI200" s="348">
        <v>6180000</v>
      </c>
      <c r="AJ200" s="240">
        <f t="shared" si="20"/>
        <v>0</v>
      </c>
      <c r="AK200" s="241" t="s">
        <v>791</v>
      </c>
      <c r="AL200" s="245" t="s">
        <v>790</v>
      </c>
      <c r="AM200" s="371">
        <v>6179869</v>
      </c>
      <c r="AN200" s="13"/>
      <c r="AP200" s="402"/>
      <c r="AQ200" s="402"/>
    </row>
    <row r="201" spans="1:43" ht="116.25" customHeight="1" x14ac:dyDescent="0.2">
      <c r="A201" s="20" t="s">
        <v>310</v>
      </c>
      <c r="B201" s="11" t="s">
        <v>1</v>
      </c>
      <c r="C201" s="12"/>
      <c r="D201" s="1" t="s">
        <v>20</v>
      </c>
      <c r="E201" s="17" t="s">
        <v>32</v>
      </c>
      <c r="F201" s="17" t="s">
        <v>186</v>
      </c>
      <c r="G201" s="17" t="s">
        <v>1</v>
      </c>
      <c r="H201" s="4" t="s">
        <v>15</v>
      </c>
      <c r="I201" s="4" t="s">
        <v>680</v>
      </c>
      <c r="J201" s="4" t="s">
        <v>682</v>
      </c>
      <c r="K201" s="4" t="s">
        <v>681</v>
      </c>
      <c r="L201" s="4">
        <v>1</v>
      </c>
      <c r="M201" s="4">
        <v>1</v>
      </c>
      <c r="N201" s="4" t="s">
        <v>24</v>
      </c>
      <c r="O201" s="13" t="s">
        <v>312</v>
      </c>
      <c r="P201" s="149">
        <f>442000*1.03</f>
        <v>455260</v>
      </c>
      <c r="Q201" s="13">
        <v>0</v>
      </c>
      <c r="R201" s="13">
        <v>0</v>
      </c>
      <c r="S201" s="36" t="s">
        <v>313</v>
      </c>
      <c r="T201" s="36" t="s">
        <v>314</v>
      </c>
      <c r="U201" s="1" t="s">
        <v>22</v>
      </c>
      <c r="V201" s="1">
        <v>3846666</v>
      </c>
      <c r="W201" s="6" t="s">
        <v>23</v>
      </c>
      <c r="X201" s="4" t="s">
        <v>27</v>
      </c>
      <c r="Y201" s="2" t="s">
        <v>30</v>
      </c>
      <c r="Z201" s="2"/>
      <c r="AA201" s="2"/>
      <c r="AB201" s="155">
        <v>455260</v>
      </c>
      <c r="AC201" s="155">
        <f t="shared" si="21"/>
        <v>0</v>
      </c>
      <c r="AD201" s="226"/>
      <c r="AE201" s="226"/>
      <c r="AF201" s="225">
        <f t="shared" si="19"/>
        <v>0</v>
      </c>
      <c r="AG201" s="243"/>
      <c r="AH201" s="243"/>
      <c r="AI201" s="347"/>
      <c r="AJ201" s="236">
        <f t="shared" si="20"/>
        <v>0</v>
      </c>
      <c r="AK201" s="243"/>
      <c r="AL201" s="243"/>
      <c r="AM201" s="374"/>
      <c r="AN201" s="13" t="s">
        <v>815</v>
      </c>
      <c r="AQ201" s="402"/>
    </row>
    <row r="202" spans="1:43" ht="116.25" customHeight="1" x14ac:dyDescent="0.2">
      <c r="A202" s="20" t="s">
        <v>57</v>
      </c>
      <c r="B202" s="11" t="s">
        <v>1</v>
      </c>
      <c r="C202" s="12"/>
      <c r="D202" s="1" t="s">
        <v>21</v>
      </c>
      <c r="E202" s="17" t="s">
        <v>32</v>
      </c>
      <c r="F202" s="17" t="s">
        <v>186</v>
      </c>
      <c r="G202" s="17" t="s">
        <v>1</v>
      </c>
      <c r="H202" s="4" t="s">
        <v>16</v>
      </c>
      <c r="I202" s="4" t="s">
        <v>580</v>
      </c>
      <c r="J202" s="4" t="s">
        <v>581</v>
      </c>
      <c r="K202" s="4" t="s">
        <v>581</v>
      </c>
      <c r="L202" s="4">
        <v>1</v>
      </c>
      <c r="M202" s="4">
        <v>1</v>
      </c>
      <c r="N202" s="4" t="s">
        <v>24</v>
      </c>
      <c r="O202" s="13" t="s">
        <v>312</v>
      </c>
      <c r="P202" s="149">
        <f>1000000*1.03</f>
        <v>1030000</v>
      </c>
      <c r="Q202" s="13">
        <v>0</v>
      </c>
      <c r="R202" s="13">
        <v>0</v>
      </c>
      <c r="S202" s="36" t="s">
        <v>313</v>
      </c>
      <c r="T202" s="36" t="s">
        <v>314</v>
      </c>
      <c r="U202" s="1" t="s">
        <v>22</v>
      </c>
      <c r="V202" s="1">
        <v>3846666</v>
      </c>
      <c r="W202" s="6" t="s">
        <v>23</v>
      </c>
      <c r="X202" s="4" t="s">
        <v>27</v>
      </c>
      <c r="Y202" s="2" t="s">
        <v>30</v>
      </c>
      <c r="Z202" s="2"/>
      <c r="AA202" s="2"/>
      <c r="AB202" s="2"/>
      <c r="AC202" s="155">
        <f t="shared" si="21"/>
        <v>1030000</v>
      </c>
      <c r="AD202" s="195">
        <v>20723</v>
      </c>
      <c r="AE202" s="201">
        <v>1030000</v>
      </c>
      <c r="AF202" s="210">
        <f t="shared" si="19"/>
        <v>0</v>
      </c>
      <c r="AG202" s="241">
        <v>25623</v>
      </c>
      <c r="AH202" s="244">
        <v>45135</v>
      </c>
      <c r="AI202" s="348">
        <v>1030000</v>
      </c>
      <c r="AJ202" s="240">
        <f t="shared" si="20"/>
        <v>0</v>
      </c>
      <c r="AK202" s="241">
        <v>111</v>
      </c>
      <c r="AL202" s="241" t="s">
        <v>759</v>
      </c>
      <c r="AM202" s="377">
        <v>1029819</v>
      </c>
      <c r="AN202" s="12"/>
      <c r="AQ202" s="402"/>
    </row>
    <row r="203" spans="1:43" ht="116.25" customHeight="1" x14ac:dyDescent="0.2">
      <c r="A203" s="169" t="s">
        <v>309</v>
      </c>
      <c r="B203" s="11" t="s">
        <v>1</v>
      </c>
      <c r="C203" s="395" t="s">
        <v>202</v>
      </c>
      <c r="D203" s="166" t="s">
        <v>192</v>
      </c>
      <c r="E203" s="4" t="s">
        <v>125</v>
      </c>
      <c r="F203" s="4" t="s">
        <v>181</v>
      </c>
      <c r="G203" s="4" t="s">
        <v>1</v>
      </c>
      <c r="H203" s="4" t="s">
        <v>193</v>
      </c>
      <c r="I203" s="4" t="s">
        <v>1</v>
      </c>
      <c r="J203" s="4" t="s">
        <v>1</v>
      </c>
      <c r="K203" s="4" t="s">
        <v>1</v>
      </c>
      <c r="L203" s="4" t="s">
        <v>1</v>
      </c>
      <c r="M203" s="4" t="s">
        <v>1</v>
      </c>
      <c r="N203" s="4" t="s">
        <v>45</v>
      </c>
      <c r="O203" s="13" t="s">
        <v>311</v>
      </c>
      <c r="P203" s="147">
        <v>3538067</v>
      </c>
      <c r="Q203" s="13">
        <v>0</v>
      </c>
      <c r="R203" s="13">
        <v>0</v>
      </c>
      <c r="S203" s="36" t="s">
        <v>313</v>
      </c>
      <c r="T203" s="36" t="s">
        <v>314</v>
      </c>
      <c r="U203" s="1" t="s">
        <v>22</v>
      </c>
      <c r="V203" s="1">
        <v>3846666</v>
      </c>
      <c r="W203" s="6" t="s">
        <v>23</v>
      </c>
      <c r="X203" s="4" t="s">
        <v>202</v>
      </c>
      <c r="Y203" s="4" t="s">
        <v>1</v>
      </c>
      <c r="Z203" s="12"/>
      <c r="AA203" s="12"/>
      <c r="AB203" s="12"/>
      <c r="AC203" s="155">
        <f t="shared" si="21"/>
        <v>3538067</v>
      </c>
      <c r="AD203" s="226">
        <v>30823</v>
      </c>
      <c r="AE203" s="227">
        <v>3538067</v>
      </c>
      <c r="AF203" s="225">
        <f t="shared" ref="AF203:AF208" si="22">+AC203-AE203</f>
        <v>0</v>
      </c>
      <c r="AG203" s="243">
        <v>34023</v>
      </c>
      <c r="AH203" s="368">
        <v>45217</v>
      </c>
      <c r="AI203" s="227">
        <v>3538067</v>
      </c>
      <c r="AJ203" s="236">
        <f t="shared" si="20"/>
        <v>0</v>
      </c>
      <c r="AK203" s="228" t="s">
        <v>843</v>
      </c>
      <c r="AL203" s="243" t="s">
        <v>842</v>
      </c>
      <c r="AM203" s="380">
        <v>3538067</v>
      </c>
      <c r="AN203" s="12"/>
      <c r="AQ203" s="402"/>
    </row>
    <row r="204" spans="1:43" ht="116.25" customHeight="1" x14ac:dyDescent="0.2">
      <c r="A204" s="20" t="s">
        <v>304</v>
      </c>
      <c r="B204" s="11" t="s">
        <v>1</v>
      </c>
      <c r="C204" s="11" t="s">
        <v>305</v>
      </c>
      <c r="D204" s="167" t="s">
        <v>194</v>
      </c>
      <c r="E204" s="4" t="s">
        <v>183</v>
      </c>
      <c r="F204" s="4" t="s">
        <v>183</v>
      </c>
      <c r="G204" s="4" t="s">
        <v>1</v>
      </c>
      <c r="H204" s="4" t="s">
        <v>195</v>
      </c>
      <c r="I204" s="4" t="s">
        <v>1</v>
      </c>
      <c r="J204" s="4" t="s">
        <v>1</v>
      </c>
      <c r="K204" s="4" t="s">
        <v>1</v>
      </c>
      <c r="L204" s="4" t="s">
        <v>1</v>
      </c>
      <c r="M204" s="4" t="s">
        <v>1</v>
      </c>
      <c r="N204" s="4" t="s">
        <v>45</v>
      </c>
      <c r="O204" s="13" t="s">
        <v>311</v>
      </c>
      <c r="P204" s="147">
        <v>98713275</v>
      </c>
      <c r="Q204" s="13">
        <v>0</v>
      </c>
      <c r="R204" s="13">
        <v>0</v>
      </c>
      <c r="S204" s="36" t="s">
        <v>313</v>
      </c>
      <c r="T204" s="36" t="s">
        <v>314</v>
      </c>
      <c r="U204" s="13" t="s">
        <v>206</v>
      </c>
      <c r="V204" s="13">
        <v>3846666</v>
      </c>
      <c r="W204" s="31" t="s">
        <v>140</v>
      </c>
      <c r="X204" s="4" t="s">
        <v>203</v>
      </c>
      <c r="Y204" s="4" t="s">
        <v>1</v>
      </c>
      <c r="Z204" s="13"/>
      <c r="AA204" s="147">
        <v>400000000</v>
      </c>
      <c r="AB204" s="13"/>
      <c r="AC204" s="155">
        <f t="shared" si="21"/>
        <v>498713275</v>
      </c>
      <c r="AD204" s="13">
        <v>36423</v>
      </c>
      <c r="AE204" s="435">
        <v>368473224</v>
      </c>
      <c r="AF204" s="436">
        <f t="shared" si="22"/>
        <v>130240051</v>
      </c>
      <c r="AG204" s="251">
        <v>40423</v>
      </c>
      <c r="AH204" s="243"/>
      <c r="AI204" s="435">
        <v>368473224</v>
      </c>
      <c r="AJ204" s="437">
        <f t="shared" si="20"/>
        <v>130240051</v>
      </c>
      <c r="AK204" s="251" t="s">
        <v>1001</v>
      </c>
      <c r="AL204" s="251" t="s">
        <v>1000</v>
      </c>
      <c r="AM204" s="438">
        <v>335652124</v>
      </c>
      <c r="AN204" s="12"/>
      <c r="AQ204" s="402"/>
    </row>
    <row r="205" spans="1:43" ht="116.25" customHeight="1" x14ac:dyDescent="0.2">
      <c r="A205" s="169" t="s">
        <v>556</v>
      </c>
      <c r="B205" s="11" t="s">
        <v>1</v>
      </c>
      <c r="C205" s="11" t="s">
        <v>197</v>
      </c>
      <c r="D205" s="4" t="s">
        <v>196</v>
      </c>
      <c r="E205" s="4" t="s">
        <v>126</v>
      </c>
      <c r="F205" s="4" t="s">
        <v>126</v>
      </c>
      <c r="G205" s="4" t="s">
        <v>1</v>
      </c>
      <c r="H205" s="4" t="s">
        <v>197</v>
      </c>
      <c r="I205" s="4" t="s">
        <v>1</v>
      </c>
      <c r="J205" s="4" t="s">
        <v>1</v>
      </c>
      <c r="K205" s="4" t="s">
        <v>1</v>
      </c>
      <c r="L205" s="4" t="s">
        <v>1</v>
      </c>
      <c r="M205" s="4" t="s">
        <v>1</v>
      </c>
      <c r="N205" s="4" t="s">
        <v>45</v>
      </c>
      <c r="O205" s="13" t="s">
        <v>311</v>
      </c>
      <c r="P205" s="147">
        <v>75000</v>
      </c>
      <c r="Q205" s="13">
        <v>0</v>
      </c>
      <c r="R205" s="13">
        <v>0</v>
      </c>
      <c r="S205" s="36" t="s">
        <v>313</v>
      </c>
      <c r="T205" s="36" t="s">
        <v>314</v>
      </c>
      <c r="U205" s="1" t="s">
        <v>22</v>
      </c>
      <c r="V205" s="1">
        <v>3846666</v>
      </c>
      <c r="W205" s="6" t="s">
        <v>23</v>
      </c>
      <c r="X205" s="4" t="s">
        <v>204</v>
      </c>
      <c r="Y205" s="4" t="s">
        <v>1</v>
      </c>
      <c r="Z205" s="13"/>
      <c r="AA205" s="147">
        <v>2000</v>
      </c>
      <c r="AB205" s="13"/>
      <c r="AC205" s="155">
        <f t="shared" si="21"/>
        <v>77000</v>
      </c>
      <c r="AD205" s="195">
        <v>12623</v>
      </c>
      <c r="AE205" s="201">
        <v>77000</v>
      </c>
      <c r="AF205" s="210">
        <f t="shared" si="22"/>
        <v>0</v>
      </c>
      <c r="AG205" s="241">
        <v>14423</v>
      </c>
      <c r="AH205" s="244">
        <v>45051</v>
      </c>
      <c r="AI205" s="348">
        <v>77000</v>
      </c>
      <c r="AJ205" s="240">
        <f t="shared" si="20"/>
        <v>0</v>
      </c>
      <c r="AK205" s="241" t="s">
        <v>53</v>
      </c>
      <c r="AL205" s="241" t="s">
        <v>537</v>
      </c>
      <c r="AM205" s="380">
        <v>77000</v>
      </c>
      <c r="AN205" s="13" t="s">
        <v>557</v>
      </c>
      <c r="AQ205" s="402"/>
    </row>
    <row r="206" spans="1:43" ht="116.25" customHeight="1" x14ac:dyDescent="0.2">
      <c r="A206" s="271" t="s">
        <v>306</v>
      </c>
      <c r="B206" s="11" t="s">
        <v>1</v>
      </c>
      <c r="C206" s="4" t="s">
        <v>199</v>
      </c>
      <c r="D206" s="30" t="s">
        <v>198</v>
      </c>
      <c r="E206" s="5" t="s">
        <v>125</v>
      </c>
      <c r="F206" s="5" t="s">
        <v>181</v>
      </c>
      <c r="G206" s="5" t="s">
        <v>1</v>
      </c>
      <c r="H206" s="5" t="s">
        <v>199</v>
      </c>
      <c r="I206" s="4" t="s">
        <v>1</v>
      </c>
      <c r="J206" s="4" t="s">
        <v>1</v>
      </c>
      <c r="K206" s="4" t="s">
        <v>1</v>
      </c>
      <c r="L206" s="4" t="s">
        <v>1</v>
      </c>
      <c r="M206" s="4" t="s">
        <v>1</v>
      </c>
      <c r="N206" s="4" t="s">
        <v>45</v>
      </c>
      <c r="O206" s="13" t="s">
        <v>311</v>
      </c>
      <c r="P206" s="147">
        <v>18000000</v>
      </c>
      <c r="Q206" s="13">
        <v>0</v>
      </c>
      <c r="R206" s="13">
        <v>0</v>
      </c>
      <c r="S206" s="36" t="s">
        <v>313</v>
      </c>
      <c r="T206" s="36" t="s">
        <v>314</v>
      </c>
      <c r="U206" s="1" t="s">
        <v>22</v>
      </c>
      <c r="V206" s="1">
        <v>3846666</v>
      </c>
      <c r="W206" s="6" t="s">
        <v>23</v>
      </c>
      <c r="X206" s="4" t="s">
        <v>199</v>
      </c>
      <c r="Y206" s="4" t="s">
        <v>1</v>
      </c>
      <c r="Z206" s="13"/>
      <c r="AA206" s="13"/>
      <c r="AB206" s="13"/>
      <c r="AC206" s="155">
        <f>P206+Z206+AA206-AB206</f>
        <v>18000000</v>
      </c>
      <c r="AD206" s="226">
        <v>34723</v>
      </c>
      <c r="AE206" s="227">
        <f>17032763-1755268</f>
        <v>15277495</v>
      </c>
      <c r="AF206" s="225">
        <f t="shared" si="22"/>
        <v>2722505</v>
      </c>
      <c r="AG206" s="243">
        <v>38523</v>
      </c>
      <c r="AH206" s="400">
        <v>45260</v>
      </c>
      <c r="AI206" s="347">
        <f>17032763-1755268</f>
        <v>15277495</v>
      </c>
      <c r="AJ206" s="236">
        <f t="shared" si="20"/>
        <v>2722505</v>
      </c>
      <c r="AK206" s="4" t="s">
        <v>915</v>
      </c>
      <c r="AL206" s="4" t="s">
        <v>916</v>
      </c>
      <c r="AM206" s="380">
        <v>15277495</v>
      </c>
      <c r="AN206" s="12"/>
      <c r="AQ206" s="402"/>
    </row>
    <row r="207" spans="1:43" ht="116.25" customHeight="1" x14ac:dyDescent="0.2">
      <c r="A207" s="272" t="s">
        <v>307</v>
      </c>
      <c r="B207" s="11" t="s">
        <v>1</v>
      </c>
      <c r="C207" s="4" t="s">
        <v>308</v>
      </c>
      <c r="D207" s="191" t="s">
        <v>200</v>
      </c>
      <c r="E207" s="5" t="s">
        <v>125</v>
      </c>
      <c r="F207" s="5" t="s">
        <v>181</v>
      </c>
      <c r="G207" s="5" t="s">
        <v>1</v>
      </c>
      <c r="H207" s="5" t="s">
        <v>201</v>
      </c>
      <c r="I207" s="4" t="s">
        <v>1</v>
      </c>
      <c r="J207" s="4" t="s">
        <v>1</v>
      </c>
      <c r="K207" s="4" t="s">
        <v>1</v>
      </c>
      <c r="L207" s="4" t="s">
        <v>1</v>
      </c>
      <c r="M207" s="4" t="s">
        <v>1</v>
      </c>
      <c r="N207" s="4" t="s">
        <v>45</v>
      </c>
      <c r="O207" s="13" t="s">
        <v>311</v>
      </c>
      <c r="P207" s="147">
        <v>26170717</v>
      </c>
      <c r="Q207" s="13">
        <v>0</v>
      </c>
      <c r="R207" s="13">
        <v>0</v>
      </c>
      <c r="S207" s="4" t="s">
        <v>313</v>
      </c>
      <c r="T207" s="4" t="s">
        <v>314</v>
      </c>
      <c r="U207" s="1" t="s">
        <v>22</v>
      </c>
      <c r="V207" s="1">
        <v>3846666</v>
      </c>
      <c r="W207" s="6" t="s">
        <v>23</v>
      </c>
      <c r="X207" s="4" t="s">
        <v>205</v>
      </c>
      <c r="Y207" s="4" t="s">
        <v>1</v>
      </c>
      <c r="Z207" s="13"/>
      <c r="AA207" s="147">
        <v>806837</v>
      </c>
      <c r="AB207" s="147">
        <v>2000</v>
      </c>
      <c r="AC207" s="155">
        <f t="shared" si="21"/>
        <v>26975554</v>
      </c>
      <c r="AD207" s="223" t="s">
        <v>555</v>
      </c>
      <c r="AE207" s="201">
        <f>19067000+361867+7448000</f>
        <v>26876867</v>
      </c>
      <c r="AF207" s="333">
        <f t="shared" si="22"/>
        <v>98687</v>
      </c>
      <c r="AG207" s="247" t="s">
        <v>574</v>
      </c>
      <c r="AH207" s="330">
        <v>45049</v>
      </c>
      <c r="AI207" s="331">
        <f>19067000+361867+7448000</f>
        <v>26876867</v>
      </c>
      <c r="AJ207" s="332">
        <f t="shared" si="20"/>
        <v>98687</v>
      </c>
      <c r="AK207" s="241" t="s">
        <v>53</v>
      </c>
      <c r="AL207" s="245" t="s">
        <v>573</v>
      </c>
      <c r="AM207" s="380">
        <f>19067000+361867+7448000</f>
        <v>26876867</v>
      </c>
      <c r="AN207" s="11" t="s">
        <v>560</v>
      </c>
      <c r="AQ207" s="402"/>
    </row>
    <row r="208" spans="1:43" s="339" customFormat="1" ht="87" customHeight="1" thickBot="1" x14ac:dyDescent="0.25">
      <c r="A208" s="273" t="s">
        <v>533</v>
      </c>
      <c r="B208" s="263" t="s">
        <v>1</v>
      </c>
      <c r="C208" s="170" t="s">
        <v>535</v>
      </c>
      <c r="D208" s="270" t="s">
        <v>534</v>
      </c>
      <c r="E208" s="264" t="s">
        <v>125</v>
      </c>
      <c r="F208" s="264" t="s">
        <v>181</v>
      </c>
      <c r="G208" s="264" t="s">
        <v>1</v>
      </c>
      <c r="H208" s="264" t="s">
        <v>535</v>
      </c>
      <c r="I208" s="170" t="s">
        <v>1</v>
      </c>
      <c r="J208" s="170" t="s">
        <v>1</v>
      </c>
      <c r="K208" s="170" t="s">
        <v>1</v>
      </c>
      <c r="L208" s="170" t="s">
        <v>1</v>
      </c>
      <c r="M208" s="170" t="s">
        <v>1</v>
      </c>
      <c r="N208" s="170" t="s">
        <v>45</v>
      </c>
      <c r="O208" s="265" t="s">
        <v>385</v>
      </c>
      <c r="P208" s="266">
        <v>0</v>
      </c>
      <c r="Q208" s="265">
        <v>0</v>
      </c>
      <c r="R208" s="265">
        <v>0</v>
      </c>
      <c r="S208" s="170" t="s">
        <v>313</v>
      </c>
      <c r="T208" s="170" t="s">
        <v>314</v>
      </c>
      <c r="U208" s="267" t="s">
        <v>22</v>
      </c>
      <c r="V208" s="267">
        <v>3846666</v>
      </c>
      <c r="W208" s="268" t="s">
        <v>23</v>
      </c>
      <c r="X208" s="170" t="s">
        <v>536</v>
      </c>
      <c r="Y208" s="170" t="s">
        <v>1</v>
      </c>
      <c r="Z208" s="266">
        <v>12000000</v>
      </c>
      <c r="AA208" s="266"/>
      <c r="AB208" s="265"/>
      <c r="AC208" s="269">
        <f>P208+Z208+AA208-AB208</f>
        <v>12000000</v>
      </c>
      <c r="AD208" s="274" t="s">
        <v>797</v>
      </c>
      <c r="AE208" s="275">
        <f>285000+1082000+637000</f>
        <v>2004000</v>
      </c>
      <c r="AF208" s="276">
        <f t="shared" si="22"/>
        <v>9996000</v>
      </c>
      <c r="AG208" s="278" t="s">
        <v>798</v>
      </c>
      <c r="AH208" s="349" t="s">
        <v>799</v>
      </c>
      <c r="AI208" s="279">
        <f>285000+1082000+637000</f>
        <v>2004000</v>
      </c>
      <c r="AJ208" s="279">
        <f>+AC208-AI208</f>
        <v>9996000</v>
      </c>
      <c r="AK208" s="280" t="s">
        <v>53</v>
      </c>
      <c r="AL208" s="280" t="s">
        <v>537</v>
      </c>
      <c r="AM208" s="388">
        <f>285000+1082000+637000</f>
        <v>2004000</v>
      </c>
      <c r="AN208" s="13" t="s">
        <v>421</v>
      </c>
      <c r="AQ208" s="402"/>
    </row>
    <row r="209" spans="1:43" s="339" customFormat="1" ht="45.75" customHeight="1" x14ac:dyDescent="0.2">
      <c r="A209" s="16"/>
      <c r="B209" s="14"/>
      <c r="C209" s="15"/>
      <c r="D209" s="328"/>
      <c r="E209" s="15"/>
      <c r="F209" s="15"/>
      <c r="G209" s="15"/>
      <c r="H209" s="64"/>
      <c r="I209" s="16"/>
      <c r="J209" s="16"/>
      <c r="K209" s="16"/>
      <c r="L209" s="16"/>
      <c r="M209" s="16"/>
      <c r="N209" s="16"/>
      <c r="O209" s="325"/>
      <c r="P209" s="143"/>
      <c r="Q209" s="16"/>
      <c r="R209" s="16"/>
      <c r="S209" s="16"/>
      <c r="T209" s="16"/>
      <c r="U209" s="16"/>
      <c r="V209" s="16"/>
      <c r="W209" s="16"/>
      <c r="X209" s="325"/>
      <c r="Y209" s="325"/>
      <c r="Z209" s="16"/>
      <c r="AA209" s="16"/>
      <c r="AB209" s="16"/>
      <c r="AC209" s="22"/>
      <c r="AD209" s="340"/>
      <c r="AE209" s="353"/>
      <c r="AF209" s="353"/>
      <c r="AG209" s="353"/>
      <c r="AH209" s="353"/>
      <c r="AI209" s="353"/>
      <c r="AJ209" s="353"/>
      <c r="AK209" s="353"/>
      <c r="AL209" s="353"/>
      <c r="AM209" s="353">
        <f>SUBTOTAL(9,AM143:AM184)</f>
        <v>626851411.75999987</v>
      </c>
      <c r="AN209" s="353"/>
      <c r="AQ209" s="402"/>
    </row>
    <row r="210" spans="1:43" s="339" customFormat="1" ht="45.75" customHeight="1" x14ac:dyDescent="0.2">
      <c r="A210" s="16"/>
      <c r="B210" s="14"/>
      <c r="C210" s="15"/>
      <c r="D210" s="328"/>
      <c r="E210" s="15"/>
      <c r="F210" s="15"/>
      <c r="G210" s="15"/>
      <c r="H210" s="64"/>
      <c r="I210" s="16"/>
      <c r="J210" s="16"/>
      <c r="K210" s="16"/>
      <c r="L210" s="16"/>
      <c r="M210" s="16"/>
      <c r="N210" s="16"/>
      <c r="O210" s="325"/>
      <c r="P210" s="143"/>
      <c r="Q210" s="16"/>
      <c r="R210" s="16"/>
      <c r="S210" s="16"/>
      <c r="T210" s="16"/>
      <c r="U210" s="16"/>
      <c r="V210" s="16"/>
      <c r="W210" s="16"/>
      <c r="X210" s="325"/>
      <c r="Y210" s="325"/>
      <c r="Z210" s="16"/>
      <c r="AA210" s="16"/>
      <c r="AB210" s="16"/>
      <c r="AC210" s="22"/>
      <c r="AD210" s="340"/>
      <c r="AE210" s="401">
        <f>SUBTOTAL(9,AE6:AE41)</f>
        <v>402852450</v>
      </c>
      <c r="AF210" s="401"/>
      <c r="AG210" s="401"/>
      <c r="AH210" s="401"/>
      <c r="AI210" s="401"/>
      <c r="AJ210" s="401"/>
      <c r="AK210" s="401"/>
      <c r="AL210" s="401"/>
      <c r="AM210" s="401"/>
      <c r="AN210" s="353"/>
      <c r="AQ210" s="402"/>
    </row>
    <row r="211" spans="1:43" s="339" customFormat="1" ht="45.75" customHeight="1" x14ac:dyDescent="0.2">
      <c r="A211" s="16"/>
      <c r="B211" s="14"/>
      <c r="C211" s="15"/>
      <c r="D211" s="328"/>
      <c r="E211" s="15"/>
      <c r="F211" s="15"/>
      <c r="G211" s="15"/>
      <c r="H211" s="369"/>
      <c r="I211" s="16"/>
      <c r="J211" s="16"/>
      <c r="K211" s="16"/>
      <c r="L211" s="16"/>
      <c r="M211" s="16"/>
      <c r="N211" s="16"/>
      <c r="O211" s="325"/>
      <c r="P211" s="143"/>
      <c r="Q211" s="16"/>
      <c r="R211" s="16"/>
      <c r="S211" s="16"/>
      <c r="T211" s="16"/>
      <c r="U211" s="16"/>
      <c r="V211" s="16"/>
      <c r="W211" s="16"/>
      <c r="X211" s="325"/>
      <c r="Y211" s="325"/>
      <c r="Z211" s="16"/>
      <c r="AA211" s="16"/>
      <c r="AB211" s="16"/>
      <c r="AC211" s="22"/>
      <c r="AD211" s="340"/>
      <c r="AE211" s="353"/>
      <c r="AF211" s="353"/>
      <c r="AG211" s="353"/>
      <c r="AH211" s="353"/>
      <c r="AI211" s="353"/>
      <c r="AJ211" s="353"/>
      <c r="AK211" s="353"/>
      <c r="AL211" s="353"/>
      <c r="AM211" s="353">
        <v>321928407</v>
      </c>
      <c r="AN211" s="353"/>
      <c r="AQ211" s="402"/>
    </row>
    <row r="212" spans="1:43" s="339" customFormat="1" ht="45.75" customHeight="1" x14ac:dyDescent="0.2">
      <c r="A212" s="16"/>
      <c r="B212" s="14"/>
      <c r="C212" s="15"/>
      <c r="D212" s="328"/>
      <c r="E212" s="15"/>
      <c r="F212" s="15"/>
      <c r="G212" s="15"/>
      <c r="H212" s="64"/>
      <c r="I212" s="16"/>
      <c r="J212" s="16"/>
      <c r="K212" s="16"/>
      <c r="L212" s="16"/>
      <c r="M212" s="16"/>
      <c r="N212" s="16"/>
      <c r="O212" s="325"/>
      <c r="P212" s="143"/>
      <c r="Q212" s="16"/>
      <c r="R212" s="16"/>
      <c r="S212" s="16"/>
      <c r="T212" s="16"/>
      <c r="U212" s="16"/>
      <c r="V212" s="16"/>
      <c r="W212" s="16"/>
      <c r="X212" s="325"/>
      <c r="Y212" s="325"/>
      <c r="Z212" s="16"/>
      <c r="AA212" s="16"/>
      <c r="AB212" s="16"/>
      <c r="AC212" s="22"/>
      <c r="AD212" s="340"/>
      <c r="AE212" s="353"/>
      <c r="AF212" s="353"/>
      <c r="AG212" s="353"/>
      <c r="AH212" s="353"/>
      <c r="AI212" s="353"/>
      <c r="AJ212" s="353"/>
      <c r="AK212" s="353"/>
      <c r="AL212" s="353"/>
      <c r="AM212" s="353">
        <f>AM211-AM210</f>
        <v>321928407</v>
      </c>
      <c r="AQ212" s="402"/>
    </row>
    <row r="213" spans="1:43" ht="45.75" customHeight="1" x14ac:dyDescent="0.2">
      <c r="AD213" s="340"/>
      <c r="AE213" s="353"/>
      <c r="AF213" s="353"/>
      <c r="AG213" s="353"/>
      <c r="AH213" s="353"/>
      <c r="AI213" s="353">
        <f>SUBTOTAL(9,AI143:AI184)</f>
        <v>661440503.54000008</v>
      </c>
      <c r="AJ213" s="353"/>
      <c r="AK213" s="353"/>
      <c r="AL213" s="353"/>
      <c r="AM213" s="353">
        <f>SUBTOTAL(9,AM143:AM184)</f>
        <v>626851411.75999987</v>
      </c>
      <c r="AN213" s="341"/>
      <c r="AQ213" s="402"/>
    </row>
    <row r="214" spans="1:43" ht="45.75" customHeight="1" x14ac:dyDescent="0.2">
      <c r="AM214" s="379">
        <f>34153354.01+13716646</f>
        <v>47870000.009999998</v>
      </c>
      <c r="AQ214" s="402"/>
    </row>
    <row r="215" spans="1:43" ht="45.75" customHeight="1" x14ac:dyDescent="0.2">
      <c r="AN215" s="402">
        <f>AI195-AM195</f>
        <v>0</v>
      </c>
      <c r="AQ215" s="402"/>
    </row>
    <row r="216" spans="1:43" ht="45.75" customHeight="1" x14ac:dyDescent="0.2">
      <c r="AP216" s="402">
        <f>AP184+AP157+AP156+AP155+AP154+AP152+AP146+AP143</f>
        <v>1950.9500000000007</v>
      </c>
      <c r="AQ216" s="402"/>
    </row>
    <row r="217" spans="1:43" ht="45.75" customHeight="1" x14ac:dyDescent="0.25">
      <c r="AD217" s="233"/>
      <c r="AE217" s="404"/>
      <c r="AF217" s="404"/>
      <c r="AG217" s="404"/>
      <c r="AH217" s="404"/>
      <c r="AI217" s="404"/>
      <c r="AJ217" s="404"/>
      <c r="AK217" s="404"/>
      <c r="AL217" s="404"/>
      <c r="AM217" s="404"/>
      <c r="AP217" s="8">
        <f>1505307</f>
        <v>1505307</v>
      </c>
      <c r="AQ217" s="402"/>
    </row>
    <row r="218" spans="1:43" ht="45.75" customHeight="1" x14ac:dyDescent="0.25">
      <c r="AM218" s="404"/>
      <c r="AP218" s="8">
        <f>AP217-AP216</f>
        <v>1503356.05</v>
      </c>
      <c r="AQ218" s="402"/>
    </row>
    <row r="219" spans="1:43" ht="45.75" customHeight="1" x14ac:dyDescent="0.2">
      <c r="AL219" s="409"/>
      <c r="AM219" s="379">
        <f>AI199-AM199</f>
        <v>0</v>
      </c>
      <c r="AQ219" s="402"/>
    </row>
    <row r="220" spans="1:43" ht="45.75" hidden="1" customHeight="1" x14ac:dyDescent="0.2">
      <c r="AL220" s="409"/>
    </row>
  </sheetData>
  <autoFilter ref="A5:AR219" xr:uid="{00000000-0009-0000-0000-000000000000}"/>
  <conditionalFormatting sqref="D109:D111 G109">
    <cfRule type="duplicateValues" dxfId="9" priority="14"/>
  </conditionalFormatting>
  <conditionalFormatting sqref="C200">
    <cfRule type="duplicateValues" dxfId="8" priority="13"/>
  </conditionalFormatting>
  <conditionalFormatting sqref="E110:E111 G110:G111">
    <cfRule type="duplicateValues" dxfId="7" priority="9"/>
  </conditionalFormatting>
  <conditionalFormatting sqref="F109">
    <cfRule type="duplicateValues" dxfId="6" priority="7"/>
  </conditionalFormatting>
  <conditionalFormatting sqref="F110:F111">
    <cfRule type="duplicateValues" dxfId="5" priority="6"/>
  </conditionalFormatting>
  <conditionalFormatting sqref="C208">
    <cfRule type="duplicateValues" dxfId="4" priority="5"/>
  </conditionalFormatting>
  <conditionalFormatting sqref="A204 C206:C207">
    <cfRule type="duplicateValues" dxfId="3" priority="18"/>
  </conditionalFormatting>
  <conditionalFormatting sqref="AK206">
    <cfRule type="duplicateValues" dxfId="2" priority="4"/>
  </conditionalFormatting>
  <conditionalFormatting sqref="AL206">
    <cfRule type="duplicateValues" dxfId="1" priority="3"/>
  </conditionalFormatting>
  <conditionalFormatting sqref="E109">
    <cfRule type="duplicateValues" dxfId="0" priority="1"/>
  </conditionalFormatting>
  <dataValidations count="2">
    <dataValidation type="list" allowBlank="1" showInputMessage="1" showErrorMessage="1" sqref="X143 N144 N200:N202 N193:N196 X145:X199 N97 X77 N112:N142 N171:N177 N31:N41 X119:X121 N49:N91" xr:uid="{00000000-0002-0000-0000-000000000000}">
      <formula1>M</formula1>
    </dataValidation>
    <dataValidation type="list" allowBlank="1" showInputMessage="1" showErrorMessage="1" sqref="Y143:AB143 X144 X200:X202 N113:N115 W97:Y97 W141:AB141 Y119:AB121 X78:X96 Y178:Y192 Z172:AB176 Y195:Y199 U120:U121 Y145:AB171 Z178:AB199 Y98:Y111 W122:W142 X98:X123 Y69:Y96 Z69:AB111 Y6:AB68 X5:X76" xr:uid="{00000000-0002-0000-0000-000001000000}">
      <formula1>gasto</formula1>
    </dataValidation>
  </dataValidations>
  <hyperlinks>
    <hyperlink ref="W144" r:id="rId1" xr:uid="{00000000-0004-0000-0000-000000000000}"/>
    <hyperlink ref="W177" r:id="rId2" xr:uid="{00000000-0004-0000-0000-000001000000}"/>
    <hyperlink ref="W116" r:id="rId3" xr:uid="{00000000-0004-0000-0000-000002000000}"/>
    <hyperlink ref="W117" r:id="rId4" xr:uid="{00000000-0004-0000-0000-000003000000}"/>
    <hyperlink ref="W200:W202" r:id="rId5" display="secretariageneral@inci.gov.co" xr:uid="{00000000-0004-0000-0000-000004000000}"/>
    <hyperlink ref="W119" r:id="rId6" xr:uid="{00000000-0004-0000-0000-000005000000}"/>
    <hyperlink ref="W172" r:id="rId7" xr:uid="{00000000-0004-0000-0000-000006000000}"/>
    <hyperlink ref="W193" r:id="rId8" xr:uid="{00000000-0004-0000-0000-000007000000}"/>
    <hyperlink ref="W194" r:id="rId9" xr:uid="{00000000-0004-0000-0000-000008000000}"/>
    <hyperlink ref="W195" r:id="rId10" xr:uid="{00000000-0004-0000-0000-000009000000}"/>
    <hyperlink ref="W196" r:id="rId11" xr:uid="{00000000-0004-0000-0000-00000A000000}"/>
    <hyperlink ref="W113" r:id="rId12" xr:uid="{00000000-0004-0000-0000-00000B000000}"/>
    <hyperlink ref="W114:W115" r:id="rId13" display="desarrollohumano@inci.gov.co" xr:uid="{00000000-0004-0000-0000-00000C000000}"/>
    <hyperlink ref="W175" r:id="rId14" xr:uid="{00000000-0004-0000-0000-00000D000000}"/>
    <hyperlink ref="W176" r:id="rId15" xr:uid="{00000000-0004-0000-0000-00000E000000}"/>
    <hyperlink ref="W43" r:id="rId16" xr:uid="{00000000-0004-0000-0000-00000F000000}"/>
    <hyperlink ref="W44:W46" r:id="rId17" display="subdireccion@inci.gov.co" xr:uid="{00000000-0004-0000-0000-000010000000}"/>
    <hyperlink ref="W203" r:id="rId18" xr:uid="{00000000-0004-0000-0000-000011000000}"/>
    <hyperlink ref="W205" r:id="rId19" xr:uid="{00000000-0004-0000-0000-000012000000}"/>
    <hyperlink ref="W206" r:id="rId20" xr:uid="{00000000-0004-0000-0000-000013000000}"/>
    <hyperlink ref="W207" r:id="rId21" xr:uid="{00000000-0004-0000-0000-000014000000}"/>
    <hyperlink ref="W204" r:id="rId22" xr:uid="{00000000-0004-0000-0000-000015000000}"/>
    <hyperlink ref="W112" r:id="rId23" xr:uid="{00000000-0004-0000-0000-000016000000}"/>
    <hyperlink ref="W6" r:id="rId24" xr:uid="{00000000-0004-0000-0000-000017000000}"/>
    <hyperlink ref="W7" r:id="rId25" xr:uid="{00000000-0004-0000-0000-000018000000}"/>
    <hyperlink ref="W8" r:id="rId26" xr:uid="{00000000-0004-0000-0000-000019000000}"/>
    <hyperlink ref="W16" r:id="rId27" xr:uid="{00000000-0004-0000-0000-00001A000000}"/>
    <hyperlink ref="W17" r:id="rId28" xr:uid="{00000000-0004-0000-0000-00001B000000}"/>
    <hyperlink ref="W24" r:id="rId29" xr:uid="{00000000-0004-0000-0000-00001C000000}"/>
    <hyperlink ref="W26" r:id="rId30" xr:uid="{00000000-0004-0000-0000-00001D000000}"/>
    <hyperlink ref="W10" r:id="rId31" xr:uid="{00000000-0004-0000-0000-00001E000000}"/>
    <hyperlink ref="W14" r:id="rId32" xr:uid="{00000000-0004-0000-0000-00001F000000}"/>
    <hyperlink ref="W18" r:id="rId33" xr:uid="{00000000-0004-0000-0000-000020000000}"/>
    <hyperlink ref="W22" r:id="rId34" xr:uid="{00000000-0004-0000-0000-000021000000}"/>
    <hyperlink ref="W23" r:id="rId35" xr:uid="{00000000-0004-0000-0000-000022000000}"/>
    <hyperlink ref="W27" r:id="rId36" xr:uid="{00000000-0004-0000-0000-000023000000}"/>
    <hyperlink ref="W28" r:id="rId37" xr:uid="{00000000-0004-0000-0000-000024000000}"/>
    <hyperlink ref="W29" r:id="rId38" xr:uid="{00000000-0004-0000-0000-000025000000}"/>
    <hyperlink ref="W31" r:id="rId39" xr:uid="{00000000-0004-0000-0000-000026000000}"/>
    <hyperlink ref="W32" r:id="rId40" xr:uid="{00000000-0004-0000-0000-000027000000}"/>
    <hyperlink ref="W33" r:id="rId41" xr:uid="{00000000-0004-0000-0000-000028000000}"/>
    <hyperlink ref="W34:W40" r:id="rId42" display="direccioninci@inci.gov.co" xr:uid="{00000000-0004-0000-0000-000029000000}"/>
    <hyperlink ref="W92:W98" r:id="rId43" display="subdireccion@inci.gov.co" xr:uid="{00000000-0004-0000-0000-00002A000000}"/>
    <hyperlink ref="W101" r:id="rId44" xr:uid="{00000000-0004-0000-0000-00002B000000}"/>
    <hyperlink ref="W102" r:id="rId45" xr:uid="{00000000-0004-0000-0000-00002C000000}"/>
    <hyperlink ref="W104" r:id="rId46" xr:uid="{00000000-0004-0000-0000-00002D000000}"/>
    <hyperlink ref="W105" r:id="rId47" xr:uid="{00000000-0004-0000-0000-00002E000000}"/>
    <hyperlink ref="W106" r:id="rId48" xr:uid="{00000000-0004-0000-0000-00002F000000}"/>
    <hyperlink ref="W108" r:id="rId49" xr:uid="{00000000-0004-0000-0000-000030000000}"/>
    <hyperlink ref="W109" r:id="rId50" xr:uid="{00000000-0004-0000-0000-000031000000}"/>
    <hyperlink ref="W47" r:id="rId51" xr:uid="{00000000-0004-0000-0000-000032000000}"/>
    <hyperlink ref="W99" r:id="rId52" xr:uid="{00000000-0004-0000-0000-000033000000}"/>
    <hyperlink ref="W174" r:id="rId53" xr:uid="{00000000-0004-0000-0000-000034000000}"/>
    <hyperlink ref="W100" r:id="rId54" xr:uid="{00000000-0004-0000-0000-000035000000}"/>
    <hyperlink ref="W9" r:id="rId55" xr:uid="{00000000-0004-0000-0000-000036000000}"/>
    <hyperlink ref="W81" r:id="rId56" xr:uid="{00000000-0004-0000-0000-000037000000}"/>
    <hyperlink ref="W110" r:id="rId57" xr:uid="{00000000-0004-0000-0000-000038000000}"/>
    <hyperlink ref="W111" r:id="rId58" xr:uid="{00000000-0004-0000-0000-000039000000}"/>
    <hyperlink ref="W118" r:id="rId59" xr:uid="{00000000-0004-0000-0000-00003A000000}"/>
    <hyperlink ref="W36" r:id="rId60" xr:uid="{00000000-0004-0000-0000-00003B000000}"/>
    <hyperlink ref="W103" r:id="rId61" xr:uid="{00000000-0004-0000-0000-00003C000000}"/>
    <hyperlink ref="W97" r:id="rId62" xr:uid="{00000000-0004-0000-0000-00003D000000}"/>
    <hyperlink ref="W80" r:id="rId63" xr:uid="{00000000-0004-0000-0000-00003E000000}"/>
    <hyperlink ref="W173" r:id="rId64" xr:uid="{00000000-0004-0000-0000-00003F000000}"/>
    <hyperlink ref="W94" r:id="rId65" xr:uid="{00000000-0004-0000-0000-000040000000}"/>
    <hyperlink ref="W208" r:id="rId66" xr:uid="{00000000-0004-0000-0000-000041000000}"/>
    <hyperlink ref="W96" r:id="rId67" xr:uid="{00000000-0004-0000-0000-000042000000}"/>
    <hyperlink ref="W12" r:id="rId68" xr:uid="{00000000-0004-0000-0000-000043000000}"/>
    <hyperlink ref="W20" r:id="rId69" xr:uid="{00000000-0004-0000-0000-000044000000}"/>
    <hyperlink ref="W48" r:id="rId70" xr:uid="{00000000-0004-0000-0000-000045000000}"/>
    <hyperlink ref="W25" r:id="rId71" xr:uid="{00000000-0004-0000-0000-000046000000}"/>
    <hyperlink ref="W37" r:id="rId72" xr:uid="{00000000-0004-0000-0000-000047000000}"/>
    <hyperlink ref="W120" r:id="rId73" xr:uid="{00000000-0004-0000-0000-000048000000}"/>
    <hyperlink ref="W11" r:id="rId74" xr:uid="{00000000-0004-0000-0000-000049000000}"/>
    <hyperlink ref="W13" r:id="rId75" xr:uid="{00000000-0004-0000-0000-00004A000000}"/>
    <hyperlink ref="W19" r:id="rId76" xr:uid="{00000000-0004-0000-0000-00004B000000}"/>
    <hyperlink ref="W30" r:id="rId77" xr:uid="{00000000-0004-0000-0000-00004C000000}"/>
    <hyperlink ref="W107" r:id="rId78" xr:uid="{00000000-0004-0000-0000-00004D000000}"/>
    <hyperlink ref="W15" r:id="rId79" xr:uid="{00000000-0004-0000-0000-00004E000000}"/>
    <hyperlink ref="W39" r:id="rId80" xr:uid="{00000000-0004-0000-0000-00004F000000}"/>
    <hyperlink ref="W21" r:id="rId81" xr:uid="{00000000-0004-0000-0000-000050000000}"/>
    <hyperlink ref="W41" r:id="rId82" xr:uid="{00000000-0004-0000-0000-000051000000}"/>
  </hyperlinks>
  <pageMargins left="0.7" right="0.7" top="0.75" bottom="0.75" header="0.3" footer="0.3"/>
  <pageSetup orientation="portrait" r:id="rId83"/>
  <ignoredErrors>
    <ignoredError sqref="AF155" formula="1"/>
  </ignoredErrors>
  <drawing r:id="rId84"/>
  <legacyDrawing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I14:I18"/>
  <sheetViews>
    <sheetView workbookViewId="0">
      <selection activeCell="I18" sqref="I18"/>
    </sheetView>
  </sheetViews>
  <sheetFormatPr baseColWidth="10" defaultRowHeight="15" x14ac:dyDescent="0.25"/>
  <sheetData>
    <row r="14" spans="9:9" x14ac:dyDescent="0.25">
      <c r="I14">
        <v>1403260</v>
      </c>
    </row>
    <row r="15" spans="9:9" x14ac:dyDescent="0.25">
      <c r="I15">
        <v>1122608</v>
      </c>
    </row>
    <row r="17" spans="9:9" x14ac:dyDescent="0.25">
      <c r="I17">
        <f>+I14-I15</f>
        <v>280652</v>
      </c>
    </row>
    <row r="18" spans="9:9" x14ac:dyDescent="0.25">
      <c r="I18">
        <v>280652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L104"/>
  <sheetViews>
    <sheetView zoomScale="70" zoomScaleNormal="70" workbookViewId="0">
      <pane ySplit="1" topLeftCell="A98" activePane="bottomLeft" state="frozen"/>
      <selection pane="bottomLeft" activeCell="D25" sqref="D25"/>
    </sheetView>
  </sheetViews>
  <sheetFormatPr baseColWidth="10" defaultRowHeight="15" x14ac:dyDescent="0.25"/>
  <cols>
    <col min="1" max="1" width="29.5703125" style="44" customWidth="1"/>
    <col min="2" max="2" width="24.85546875" style="44" customWidth="1"/>
    <col min="3" max="11" width="20.85546875" style="44" customWidth="1"/>
    <col min="12" max="12" width="20.85546875" customWidth="1"/>
  </cols>
  <sheetData>
    <row r="1" spans="1:12" ht="47.25" x14ac:dyDescent="0.25">
      <c r="A1" s="122" t="s">
        <v>130</v>
      </c>
      <c r="B1" s="45" t="s">
        <v>265</v>
      </c>
      <c r="C1" s="45" t="s">
        <v>266</v>
      </c>
      <c r="D1" s="45" t="s">
        <v>267</v>
      </c>
      <c r="E1" s="46" t="s">
        <v>272</v>
      </c>
      <c r="F1" s="45" t="s">
        <v>268</v>
      </c>
      <c r="G1" s="45" t="s">
        <v>269</v>
      </c>
      <c r="H1" s="46" t="s">
        <v>270</v>
      </c>
      <c r="I1" s="46" t="s">
        <v>271</v>
      </c>
      <c r="J1" s="46" t="s">
        <v>273</v>
      </c>
      <c r="K1" s="46" t="s">
        <v>274</v>
      </c>
      <c r="L1" s="46" t="s">
        <v>275</v>
      </c>
    </row>
    <row r="2" spans="1:12" s="47" customFormat="1" ht="90" x14ac:dyDescent="0.25">
      <c r="A2" s="123" t="s">
        <v>226</v>
      </c>
      <c r="B2" s="38" t="s">
        <v>414</v>
      </c>
      <c r="C2" s="38" t="s">
        <v>414</v>
      </c>
      <c r="D2" s="38" t="s">
        <v>548</v>
      </c>
      <c r="E2" s="74">
        <v>259000</v>
      </c>
      <c r="F2" s="75">
        <v>4.5</v>
      </c>
      <c r="G2" s="76">
        <f>E2*F2</f>
        <v>1165500</v>
      </c>
      <c r="H2" s="74">
        <v>750000</v>
      </c>
      <c r="I2" s="77">
        <v>200000</v>
      </c>
      <c r="J2" s="78">
        <v>120000</v>
      </c>
      <c r="K2" s="78">
        <v>50000</v>
      </c>
      <c r="L2" s="79">
        <f>I2+J2+K2</f>
        <v>370000</v>
      </c>
    </row>
    <row r="3" spans="1:12" ht="90" x14ac:dyDescent="0.25">
      <c r="A3" s="123" t="s">
        <v>226</v>
      </c>
      <c r="B3" s="38" t="s">
        <v>414</v>
      </c>
      <c r="C3" s="38" t="s">
        <v>414</v>
      </c>
      <c r="D3" s="38" t="s">
        <v>548</v>
      </c>
      <c r="E3" s="74">
        <v>259000</v>
      </c>
      <c r="F3" s="75">
        <v>4.5</v>
      </c>
      <c r="G3" s="76">
        <f t="shared" ref="G3:G17" si="0">E3*F3</f>
        <v>1165500</v>
      </c>
      <c r="H3" s="74">
        <v>750000</v>
      </c>
      <c r="I3" s="77">
        <v>200000</v>
      </c>
      <c r="J3" s="78">
        <v>120000</v>
      </c>
      <c r="K3" s="78">
        <v>50000</v>
      </c>
      <c r="L3" s="79">
        <f t="shared" ref="L3:L19" si="1">I3+J3+K3</f>
        <v>370000</v>
      </c>
    </row>
    <row r="4" spans="1:12" ht="90" x14ac:dyDescent="0.25">
      <c r="A4" s="123" t="s">
        <v>226</v>
      </c>
      <c r="B4" s="38" t="s">
        <v>414</v>
      </c>
      <c r="C4" s="38" t="s">
        <v>414</v>
      </c>
      <c r="D4" s="38" t="s">
        <v>548</v>
      </c>
      <c r="E4" s="74">
        <v>259000</v>
      </c>
      <c r="F4" s="75">
        <v>4.5</v>
      </c>
      <c r="G4" s="76">
        <f t="shared" si="0"/>
        <v>1165500</v>
      </c>
      <c r="H4" s="74">
        <v>750000</v>
      </c>
      <c r="I4" s="77">
        <v>200000</v>
      </c>
      <c r="J4" s="78">
        <v>120000</v>
      </c>
      <c r="K4" s="78">
        <v>50000</v>
      </c>
      <c r="L4" s="79">
        <f t="shared" si="1"/>
        <v>370000</v>
      </c>
    </row>
    <row r="5" spans="1:12" ht="90" x14ac:dyDescent="0.25">
      <c r="A5" s="123" t="s">
        <v>226</v>
      </c>
      <c r="B5" s="38" t="s">
        <v>414</v>
      </c>
      <c r="C5" s="38" t="s">
        <v>414</v>
      </c>
      <c r="D5" s="38" t="s">
        <v>548</v>
      </c>
      <c r="E5" s="74">
        <v>259000</v>
      </c>
      <c r="F5" s="75">
        <v>4.5</v>
      </c>
      <c r="G5" s="76">
        <f t="shared" si="0"/>
        <v>1165500</v>
      </c>
      <c r="H5" s="74">
        <v>750000</v>
      </c>
      <c r="I5" s="77">
        <v>200000</v>
      </c>
      <c r="J5" s="78">
        <v>120000</v>
      </c>
      <c r="K5" s="78">
        <v>50000</v>
      </c>
      <c r="L5" s="79">
        <f t="shared" si="1"/>
        <v>370000</v>
      </c>
    </row>
    <row r="6" spans="1:12" ht="90" x14ac:dyDescent="0.25">
      <c r="A6" s="123" t="s">
        <v>226</v>
      </c>
      <c r="B6" s="38" t="s">
        <v>414</v>
      </c>
      <c r="C6" s="38" t="s">
        <v>414</v>
      </c>
      <c r="D6" s="38" t="s">
        <v>548</v>
      </c>
      <c r="E6" s="74">
        <v>259000</v>
      </c>
      <c r="F6" s="75">
        <v>4.5</v>
      </c>
      <c r="G6" s="76">
        <f t="shared" si="0"/>
        <v>1165500</v>
      </c>
      <c r="H6" s="74">
        <v>750000</v>
      </c>
      <c r="I6" s="77">
        <v>200000</v>
      </c>
      <c r="J6" s="78">
        <v>120000</v>
      </c>
      <c r="K6" s="78">
        <v>50000</v>
      </c>
      <c r="L6" s="79">
        <f t="shared" si="1"/>
        <v>370000</v>
      </c>
    </row>
    <row r="7" spans="1:12" ht="90" x14ac:dyDescent="0.25">
      <c r="A7" s="123" t="s">
        <v>226</v>
      </c>
      <c r="B7" s="38" t="s">
        <v>414</v>
      </c>
      <c r="C7" s="38" t="s">
        <v>414</v>
      </c>
      <c r="D7" s="38" t="s">
        <v>548</v>
      </c>
      <c r="E7" s="74">
        <v>259000</v>
      </c>
      <c r="F7" s="75">
        <v>4.5</v>
      </c>
      <c r="G7" s="76">
        <f t="shared" si="0"/>
        <v>1165500</v>
      </c>
      <c r="H7" s="74">
        <v>750000</v>
      </c>
      <c r="I7" s="77">
        <v>200000</v>
      </c>
      <c r="J7" s="78">
        <v>120000</v>
      </c>
      <c r="K7" s="78">
        <v>50000</v>
      </c>
      <c r="L7" s="79">
        <f t="shared" si="1"/>
        <v>370000</v>
      </c>
    </row>
    <row r="8" spans="1:12" ht="90" x14ac:dyDescent="0.25">
      <c r="A8" s="123" t="s">
        <v>226</v>
      </c>
      <c r="B8" s="38" t="s">
        <v>414</v>
      </c>
      <c r="C8" s="38" t="s">
        <v>414</v>
      </c>
      <c r="D8" s="38" t="s">
        <v>548</v>
      </c>
      <c r="E8" s="74">
        <v>328750</v>
      </c>
      <c r="F8" s="75">
        <v>4.5</v>
      </c>
      <c r="G8" s="76">
        <f t="shared" si="0"/>
        <v>1479375</v>
      </c>
      <c r="H8" s="74">
        <v>750000</v>
      </c>
      <c r="I8" s="77">
        <v>200000</v>
      </c>
      <c r="J8" s="78">
        <v>120000</v>
      </c>
      <c r="K8" s="78">
        <v>50000</v>
      </c>
      <c r="L8" s="79">
        <f t="shared" si="1"/>
        <v>370000</v>
      </c>
    </row>
    <row r="9" spans="1:12" ht="90" x14ac:dyDescent="0.25">
      <c r="A9" s="123" t="s">
        <v>226</v>
      </c>
      <c r="B9" s="38" t="s">
        <v>414</v>
      </c>
      <c r="C9" s="38" t="s">
        <v>414</v>
      </c>
      <c r="D9" s="38" t="s">
        <v>548</v>
      </c>
      <c r="E9" s="74">
        <v>328750</v>
      </c>
      <c r="F9" s="75">
        <v>4.5</v>
      </c>
      <c r="G9" s="76">
        <f t="shared" si="0"/>
        <v>1479375</v>
      </c>
      <c r="H9" s="74">
        <v>750000</v>
      </c>
      <c r="I9" s="77">
        <v>200000</v>
      </c>
      <c r="J9" s="78">
        <v>120000</v>
      </c>
      <c r="K9" s="78">
        <v>50000</v>
      </c>
      <c r="L9" s="79">
        <f t="shared" si="1"/>
        <v>370000</v>
      </c>
    </row>
    <row r="10" spans="1:12" ht="90" x14ac:dyDescent="0.25">
      <c r="A10" s="123" t="s">
        <v>226</v>
      </c>
      <c r="B10" s="38" t="s">
        <v>414</v>
      </c>
      <c r="C10" s="38" t="s">
        <v>414</v>
      </c>
      <c r="D10" s="38" t="s">
        <v>548</v>
      </c>
      <c r="E10" s="74">
        <v>259000</v>
      </c>
      <c r="F10" s="75">
        <v>4.5</v>
      </c>
      <c r="G10" s="76">
        <f t="shared" si="0"/>
        <v>1165500</v>
      </c>
      <c r="H10" s="74">
        <v>750000</v>
      </c>
      <c r="I10" s="77">
        <v>200000</v>
      </c>
      <c r="J10" s="78">
        <v>120000</v>
      </c>
      <c r="K10" s="78">
        <v>50000</v>
      </c>
      <c r="L10" s="79">
        <f t="shared" si="1"/>
        <v>370000</v>
      </c>
    </row>
    <row r="11" spans="1:12" ht="90" x14ac:dyDescent="0.25">
      <c r="A11" s="123" t="s">
        <v>226</v>
      </c>
      <c r="B11" s="38" t="s">
        <v>414</v>
      </c>
      <c r="C11" s="38" t="s">
        <v>414</v>
      </c>
      <c r="D11" s="38" t="s">
        <v>548</v>
      </c>
      <c r="E11" s="74">
        <v>259000</v>
      </c>
      <c r="F11" s="75">
        <v>4.5</v>
      </c>
      <c r="G11" s="76">
        <f t="shared" si="0"/>
        <v>1165500</v>
      </c>
      <c r="H11" s="74">
        <v>750000</v>
      </c>
      <c r="I11" s="77">
        <v>200000</v>
      </c>
      <c r="J11" s="78">
        <v>120000</v>
      </c>
      <c r="K11" s="78">
        <v>50000</v>
      </c>
      <c r="L11" s="79">
        <f t="shared" si="1"/>
        <v>370000</v>
      </c>
    </row>
    <row r="12" spans="1:12" ht="90" x14ac:dyDescent="0.25">
      <c r="A12" s="123" t="s">
        <v>226</v>
      </c>
      <c r="B12" s="38" t="s">
        <v>414</v>
      </c>
      <c r="C12" s="38" t="s">
        <v>414</v>
      </c>
      <c r="D12" s="38" t="s">
        <v>548</v>
      </c>
      <c r="E12" s="74">
        <v>259000</v>
      </c>
      <c r="F12" s="75">
        <v>4.5</v>
      </c>
      <c r="G12" s="76">
        <f t="shared" si="0"/>
        <v>1165500</v>
      </c>
      <c r="H12" s="74">
        <v>750000</v>
      </c>
      <c r="I12" s="77">
        <v>200000</v>
      </c>
      <c r="J12" s="78">
        <v>120000</v>
      </c>
      <c r="K12" s="78">
        <v>50000</v>
      </c>
      <c r="L12" s="79">
        <f t="shared" si="1"/>
        <v>370000</v>
      </c>
    </row>
    <row r="13" spans="1:12" ht="90" x14ac:dyDescent="0.25">
      <c r="A13" s="123" t="s">
        <v>226</v>
      </c>
      <c r="B13" s="38" t="s">
        <v>414</v>
      </c>
      <c r="C13" s="38" t="s">
        <v>414</v>
      </c>
      <c r="D13" s="38" t="s">
        <v>548</v>
      </c>
      <c r="E13" s="74">
        <v>259000</v>
      </c>
      <c r="F13" s="75">
        <v>4.5</v>
      </c>
      <c r="G13" s="76">
        <f t="shared" si="0"/>
        <v>1165500</v>
      </c>
      <c r="H13" s="74">
        <v>750000</v>
      </c>
      <c r="I13" s="77">
        <v>200000</v>
      </c>
      <c r="J13" s="78">
        <v>120000</v>
      </c>
      <c r="K13" s="78">
        <v>50000</v>
      </c>
      <c r="L13" s="79">
        <f t="shared" si="1"/>
        <v>370000</v>
      </c>
    </row>
    <row r="14" spans="1:12" ht="90" x14ac:dyDescent="0.25">
      <c r="A14" s="123" t="s">
        <v>226</v>
      </c>
      <c r="B14" s="38" t="s">
        <v>414</v>
      </c>
      <c r="C14" s="38" t="s">
        <v>414</v>
      </c>
      <c r="D14" s="38" t="s">
        <v>548</v>
      </c>
      <c r="E14" s="74">
        <v>259000</v>
      </c>
      <c r="F14" s="75">
        <v>4.5</v>
      </c>
      <c r="G14" s="76">
        <f t="shared" si="0"/>
        <v>1165500</v>
      </c>
      <c r="H14" s="74">
        <v>750000</v>
      </c>
      <c r="I14" s="77">
        <v>200000</v>
      </c>
      <c r="J14" s="78">
        <v>120000</v>
      </c>
      <c r="K14" s="78">
        <v>50000</v>
      </c>
      <c r="L14" s="79">
        <f t="shared" si="1"/>
        <v>370000</v>
      </c>
    </row>
    <row r="15" spans="1:12" ht="90" x14ac:dyDescent="0.25">
      <c r="A15" s="123" t="s">
        <v>226</v>
      </c>
      <c r="B15" s="38" t="s">
        <v>414</v>
      </c>
      <c r="C15" s="38" t="s">
        <v>414</v>
      </c>
      <c r="D15" s="38" t="s">
        <v>548</v>
      </c>
      <c r="E15" s="74">
        <v>259000</v>
      </c>
      <c r="F15" s="75">
        <v>4.5</v>
      </c>
      <c r="G15" s="76">
        <f t="shared" si="0"/>
        <v>1165500</v>
      </c>
      <c r="H15" s="74">
        <v>750000</v>
      </c>
      <c r="I15" s="77">
        <v>200000</v>
      </c>
      <c r="J15" s="78">
        <v>120000</v>
      </c>
      <c r="K15" s="78">
        <v>50000</v>
      </c>
      <c r="L15" s="79">
        <f t="shared" si="1"/>
        <v>370000</v>
      </c>
    </row>
    <row r="16" spans="1:12" ht="90" x14ac:dyDescent="0.25">
      <c r="A16" s="123" t="s">
        <v>226</v>
      </c>
      <c r="B16" s="38" t="s">
        <v>414</v>
      </c>
      <c r="C16" s="38" t="s">
        <v>414</v>
      </c>
      <c r="D16" s="38" t="s">
        <v>548</v>
      </c>
      <c r="E16" s="74">
        <v>328750</v>
      </c>
      <c r="F16" s="75">
        <v>4.5</v>
      </c>
      <c r="G16" s="76">
        <f t="shared" si="0"/>
        <v>1479375</v>
      </c>
      <c r="H16" s="74">
        <v>750000</v>
      </c>
      <c r="I16" s="77">
        <v>200000</v>
      </c>
      <c r="J16" s="78">
        <v>120000</v>
      </c>
      <c r="K16" s="78">
        <v>50000</v>
      </c>
      <c r="L16" s="79">
        <f t="shared" si="1"/>
        <v>370000</v>
      </c>
    </row>
    <row r="17" spans="1:12" ht="90" x14ac:dyDescent="0.25">
      <c r="A17" s="123" t="s">
        <v>226</v>
      </c>
      <c r="B17" s="38" t="s">
        <v>414</v>
      </c>
      <c r="C17" s="38" t="s">
        <v>414</v>
      </c>
      <c r="D17" s="38" t="s">
        <v>548</v>
      </c>
      <c r="E17" s="74">
        <v>328750</v>
      </c>
      <c r="F17" s="75">
        <v>4.5</v>
      </c>
      <c r="G17" s="76">
        <f t="shared" si="0"/>
        <v>1479375</v>
      </c>
      <c r="H17" s="74">
        <v>750000</v>
      </c>
      <c r="I17" s="77">
        <v>200000</v>
      </c>
      <c r="J17" s="78">
        <v>120000</v>
      </c>
      <c r="K17" s="78">
        <v>50000</v>
      </c>
      <c r="L17" s="79">
        <f t="shared" si="1"/>
        <v>370000</v>
      </c>
    </row>
    <row r="18" spans="1:12" s="48" customFormat="1" ht="33" customHeight="1" x14ac:dyDescent="0.25">
      <c r="A18" s="131"/>
      <c r="B18" s="131"/>
      <c r="C18" s="131"/>
      <c r="D18" s="131"/>
      <c r="E18" s="131"/>
      <c r="F18" s="131"/>
      <c r="G18" s="132">
        <f t="shared" ref="G18:L18" si="2">SUM(G2:G17)</f>
        <v>19903500</v>
      </c>
      <c r="H18" s="133">
        <f t="shared" si="2"/>
        <v>12000000</v>
      </c>
      <c r="I18" s="133">
        <f t="shared" si="2"/>
        <v>3200000</v>
      </c>
      <c r="J18" s="133">
        <f t="shared" si="2"/>
        <v>1920000</v>
      </c>
      <c r="K18" s="133">
        <f t="shared" si="2"/>
        <v>800000</v>
      </c>
      <c r="L18" s="133">
        <f t="shared" si="2"/>
        <v>5920000</v>
      </c>
    </row>
    <row r="19" spans="1:12" ht="75" x14ac:dyDescent="0.25">
      <c r="A19" s="124" t="s">
        <v>243</v>
      </c>
      <c r="B19" s="18" t="s">
        <v>414</v>
      </c>
      <c r="C19" s="18" t="s">
        <v>414</v>
      </c>
      <c r="D19" s="18" t="s">
        <v>283</v>
      </c>
      <c r="E19" s="80">
        <v>259000</v>
      </c>
      <c r="F19" s="81">
        <v>3.5</v>
      </c>
      <c r="G19" s="84">
        <f>E19*F19</f>
        <v>906500</v>
      </c>
      <c r="H19" s="80">
        <v>750000</v>
      </c>
      <c r="I19" s="82">
        <v>200000</v>
      </c>
      <c r="J19" s="83">
        <v>120000</v>
      </c>
      <c r="K19" s="83">
        <v>50000</v>
      </c>
      <c r="L19" s="84">
        <f t="shared" si="1"/>
        <v>370000</v>
      </c>
    </row>
    <row r="20" spans="1:12" ht="75" x14ac:dyDescent="0.25">
      <c r="A20" s="124" t="s">
        <v>243</v>
      </c>
      <c r="B20" s="18" t="s">
        <v>414</v>
      </c>
      <c r="C20" s="18" t="s">
        <v>414</v>
      </c>
      <c r="D20" s="18" t="s">
        <v>283</v>
      </c>
      <c r="E20" s="80">
        <v>259000</v>
      </c>
      <c r="F20" s="81">
        <v>3.5</v>
      </c>
      <c r="G20" s="84">
        <f t="shared" ref="G20:G26" si="3">E20*F20</f>
        <v>906500</v>
      </c>
      <c r="H20" s="80">
        <v>750000</v>
      </c>
      <c r="I20" s="82">
        <v>200000</v>
      </c>
      <c r="J20" s="83">
        <v>120000</v>
      </c>
      <c r="K20" s="83">
        <v>50000</v>
      </c>
      <c r="L20" s="84">
        <f t="shared" ref="L20:L26" si="4">I20+J20+K20</f>
        <v>370000</v>
      </c>
    </row>
    <row r="21" spans="1:12" ht="75" x14ac:dyDescent="0.25">
      <c r="A21" s="124" t="s">
        <v>243</v>
      </c>
      <c r="B21" s="18" t="s">
        <v>414</v>
      </c>
      <c r="C21" s="18" t="s">
        <v>414</v>
      </c>
      <c r="D21" s="18" t="s">
        <v>414</v>
      </c>
      <c r="E21" s="80">
        <v>259000</v>
      </c>
      <c r="F21" s="81">
        <v>3.5</v>
      </c>
      <c r="G21" s="84">
        <f t="shared" si="3"/>
        <v>906500</v>
      </c>
      <c r="H21" s="80">
        <v>750000</v>
      </c>
      <c r="I21" s="82">
        <v>200000</v>
      </c>
      <c r="J21" s="83">
        <v>120000</v>
      </c>
      <c r="K21" s="83">
        <v>50000</v>
      </c>
      <c r="L21" s="84">
        <f t="shared" si="4"/>
        <v>370000</v>
      </c>
    </row>
    <row r="22" spans="1:12" ht="75" x14ac:dyDescent="0.25">
      <c r="A22" s="124" t="s">
        <v>243</v>
      </c>
      <c r="B22" s="18" t="s">
        <v>414</v>
      </c>
      <c r="C22" s="18" t="s">
        <v>414</v>
      </c>
      <c r="D22" s="18" t="s">
        <v>414</v>
      </c>
      <c r="E22" s="80">
        <v>259000</v>
      </c>
      <c r="F22" s="81">
        <v>3.5</v>
      </c>
      <c r="G22" s="84">
        <f t="shared" si="3"/>
        <v>906500</v>
      </c>
      <c r="H22" s="80">
        <v>750000</v>
      </c>
      <c r="I22" s="82">
        <v>200000</v>
      </c>
      <c r="J22" s="83">
        <v>120000</v>
      </c>
      <c r="K22" s="83">
        <v>50000</v>
      </c>
      <c r="L22" s="84">
        <f t="shared" si="4"/>
        <v>370000</v>
      </c>
    </row>
    <row r="23" spans="1:12" ht="75" x14ac:dyDescent="0.25">
      <c r="A23" s="124" t="s">
        <v>243</v>
      </c>
      <c r="B23" s="18" t="s">
        <v>414</v>
      </c>
      <c r="C23" s="18" t="s">
        <v>414</v>
      </c>
      <c r="D23" s="18" t="s">
        <v>283</v>
      </c>
      <c r="E23" s="80">
        <v>259000</v>
      </c>
      <c r="F23" s="81">
        <v>3.5</v>
      </c>
      <c r="G23" s="84">
        <f t="shared" si="3"/>
        <v>906500</v>
      </c>
      <c r="H23" s="80">
        <v>750000</v>
      </c>
      <c r="I23" s="82">
        <v>200000</v>
      </c>
      <c r="J23" s="83">
        <v>120000</v>
      </c>
      <c r="K23" s="83">
        <v>50000</v>
      </c>
      <c r="L23" s="84">
        <f t="shared" si="4"/>
        <v>370000</v>
      </c>
    </row>
    <row r="24" spans="1:12" ht="75" x14ac:dyDescent="0.25">
      <c r="A24" s="124" t="s">
        <v>243</v>
      </c>
      <c r="B24" s="18" t="s">
        <v>414</v>
      </c>
      <c r="C24" s="18" t="s">
        <v>414</v>
      </c>
      <c r="D24" s="18" t="s">
        <v>414</v>
      </c>
      <c r="E24" s="80">
        <v>259000</v>
      </c>
      <c r="F24" s="81">
        <v>3.5</v>
      </c>
      <c r="G24" s="84">
        <f t="shared" si="3"/>
        <v>906500</v>
      </c>
      <c r="H24" s="80">
        <v>750000</v>
      </c>
      <c r="I24" s="82">
        <v>200000</v>
      </c>
      <c r="J24" s="83">
        <v>120000</v>
      </c>
      <c r="K24" s="83">
        <v>50000</v>
      </c>
      <c r="L24" s="84">
        <f t="shared" si="4"/>
        <v>370000</v>
      </c>
    </row>
    <row r="25" spans="1:12" ht="75" x14ac:dyDescent="0.25">
      <c r="A25" s="124" t="s">
        <v>243</v>
      </c>
      <c r="B25" s="18" t="s">
        <v>414</v>
      </c>
      <c r="C25" s="18" t="s">
        <v>414</v>
      </c>
      <c r="D25" s="18" t="s">
        <v>283</v>
      </c>
      <c r="E25" s="80">
        <v>259000</v>
      </c>
      <c r="F25" s="81">
        <v>3.5</v>
      </c>
      <c r="G25" s="84">
        <f t="shared" si="3"/>
        <v>906500</v>
      </c>
      <c r="H25" s="80">
        <v>750000</v>
      </c>
      <c r="I25" s="82">
        <v>200000</v>
      </c>
      <c r="J25" s="83">
        <v>120000</v>
      </c>
      <c r="K25" s="83">
        <v>50000</v>
      </c>
      <c r="L25" s="84">
        <f t="shared" si="4"/>
        <v>370000</v>
      </c>
    </row>
    <row r="26" spans="1:12" ht="75" x14ac:dyDescent="0.25">
      <c r="A26" s="124" t="s">
        <v>243</v>
      </c>
      <c r="B26" s="18" t="s">
        <v>414</v>
      </c>
      <c r="C26" s="18" t="s">
        <v>414</v>
      </c>
      <c r="D26" s="18" t="s">
        <v>283</v>
      </c>
      <c r="E26" s="80">
        <v>259000</v>
      </c>
      <c r="F26" s="81">
        <v>3.5</v>
      </c>
      <c r="G26" s="84">
        <f t="shared" si="3"/>
        <v>906500</v>
      </c>
      <c r="H26" s="80">
        <v>750000</v>
      </c>
      <c r="I26" s="82">
        <v>200000</v>
      </c>
      <c r="J26" s="83">
        <v>120000</v>
      </c>
      <c r="K26" s="83">
        <v>50000</v>
      </c>
      <c r="L26" s="84">
        <f t="shared" si="4"/>
        <v>370000</v>
      </c>
    </row>
    <row r="27" spans="1:12" x14ac:dyDescent="0.25">
      <c r="A27" s="54"/>
      <c r="B27" s="54"/>
      <c r="C27" s="54"/>
      <c r="D27" s="54"/>
      <c r="E27" s="54"/>
      <c r="F27" s="54"/>
      <c r="G27" s="55">
        <f t="shared" ref="G27:L27" si="5">SUM(G19:G26)</f>
        <v>7252000</v>
      </c>
      <c r="H27" s="55">
        <f t="shared" si="5"/>
        <v>6000000</v>
      </c>
      <c r="I27" s="55">
        <f t="shared" si="5"/>
        <v>1600000</v>
      </c>
      <c r="J27" s="55">
        <f t="shared" si="5"/>
        <v>960000</v>
      </c>
      <c r="K27" s="55">
        <f t="shared" si="5"/>
        <v>400000</v>
      </c>
      <c r="L27" s="55">
        <f t="shared" si="5"/>
        <v>2960000</v>
      </c>
    </row>
    <row r="29" spans="1:12" ht="78.75" x14ac:dyDescent="0.25">
      <c r="A29" s="125" t="s">
        <v>245</v>
      </c>
      <c r="B29" s="125" t="s">
        <v>327</v>
      </c>
      <c r="C29" s="125" t="s">
        <v>328</v>
      </c>
      <c r="D29" s="125" t="s">
        <v>329</v>
      </c>
      <c r="E29" s="126">
        <v>259000</v>
      </c>
      <c r="F29" s="125">
        <v>1.5</v>
      </c>
      <c r="G29" s="126">
        <f>E29*F29</f>
        <v>388500</v>
      </c>
      <c r="H29" s="126">
        <v>750000</v>
      </c>
      <c r="I29" s="126">
        <v>0</v>
      </c>
      <c r="J29" s="126">
        <v>60000</v>
      </c>
      <c r="K29" s="126">
        <v>50000</v>
      </c>
      <c r="L29" s="127">
        <f>I29+J29+K29</f>
        <v>110000</v>
      </c>
    </row>
    <row r="30" spans="1:12" ht="78.75" x14ac:dyDescent="0.25">
      <c r="A30" s="125" t="s">
        <v>245</v>
      </c>
      <c r="B30" s="125" t="s">
        <v>330</v>
      </c>
      <c r="C30" s="125" t="s">
        <v>331</v>
      </c>
      <c r="D30" s="125" t="s">
        <v>329</v>
      </c>
      <c r="E30" s="126">
        <v>259000</v>
      </c>
      <c r="F30" s="125">
        <v>1</v>
      </c>
      <c r="G30" s="126">
        <f t="shared" ref="G30:G97" si="6">E30*F30</f>
        <v>259000</v>
      </c>
      <c r="H30" s="126">
        <v>0</v>
      </c>
      <c r="I30" s="126">
        <v>0</v>
      </c>
      <c r="J30" s="126"/>
      <c r="K30" s="126"/>
      <c r="L30" s="127">
        <f t="shared" ref="L30:L97" si="7">I30+J30+K30</f>
        <v>0</v>
      </c>
    </row>
    <row r="31" spans="1:12" ht="78.75" x14ac:dyDescent="0.25">
      <c r="A31" s="125" t="s">
        <v>245</v>
      </c>
      <c r="B31" s="125" t="s">
        <v>330</v>
      </c>
      <c r="C31" s="125" t="s">
        <v>332</v>
      </c>
      <c r="D31" s="125" t="s">
        <v>329</v>
      </c>
      <c r="E31" s="126">
        <v>259000</v>
      </c>
      <c r="F31" s="125">
        <v>1</v>
      </c>
      <c r="G31" s="126">
        <f t="shared" si="6"/>
        <v>259000</v>
      </c>
      <c r="H31" s="126">
        <v>0</v>
      </c>
      <c r="I31" s="126">
        <v>0</v>
      </c>
      <c r="J31" s="126"/>
      <c r="K31" s="126"/>
      <c r="L31" s="127">
        <f t="shared" si="7"/>
        <v>0</v>
      </c>
    </row>
    <row r="32" spans="1:12" ht="78.75" x14ac:dyDescent="0.25">
      <c r="A32" s="125" t="s">
        <v>245</v>
      </c>
      <c r="B32" s="125" t="s">
        <v>330</v>
      </c>
      <c r="C32" s="125" t="s">
        <v>333</v>
      </c>
      <c r="D32" s="125" t="s">
        <v>329</v>
      </c>
      <c r="E32" s="126">
        <v>259000</v>
      </c>
      <c r="F32" s="125">
        <v>1</v>
      </c>
      <c r="G32" s="126">
        <f t="shared" si="6"/>
        <v>259000</v>
      </c>
      <c r="H32" s="126">
        <v>0</v>
      </c>
      <c r="I32" s="126">
        <v>0</v>
      </c>
      <c r="J32" s="126"/>
      <c r="K32" s="126"/>
      <c r="L32" s="127">
        <f t="shared" si="7"/>
        <v>0</v>
      </c>
    </row>
    <row r="33" spans="1:12" ht="78.75" x14ac:dyDescent="0.25">
      <c r="A33" s="125" t="s">
        <v>245</v>
      </c>
      <c r="B33" s="125" t="s">
        <v>334</v>
      </c>
      <c r="C33" s="125" t="s">
        <v>335</v>
      </c>
      <c r="D33" s="125" t="s">
        <v>259</v>
      </c>
      <c r="E33" s="126">
        <v>259000</v>
      </c>
      <c r="F33" s="125">
        <v>2.5</v>
      </c>
      <c r="G33" s="126">
        <f t="shared" si="6"/>
        <v>647500</v>
      </c>
      <c r="H33" s="126">
        <v>750000</v>
      </c>
      <c r="I33" s="126">
        <v>0</v>
      </c>
      <c r="J33" s="126">
        <v>80000</v>
      </c>
      <c r="K33" s="126"/>
      <c r="L33" s="127">
        <f t="shared" si="7"/>
        <v>80000</v>
      </c>
    </row>
    <row r="34" spans="1:12" ht="78.75" x14ac:dyDescent="0.25">
      <c r="A34" s="125" t="s">
        <v>245</v>
      </c>
      <c r="B34" s="125" t="s">
        <v>336</v>
      </c>
      <c r="C34" s="125" t="s">
        <v>337</v>
      </c>
      <c r="D34" s="125" t="s">
        <v>259</v>
      </c>
      <c r="E34" s="126">
        <v>259000</v>
      </c>
      <c r="F34" s="125">
        <v>1</v>
      </c>
      <c r="G34" s="126">
        <f t="shared" si="6"/>
        <v>259000</v>
      </c>
      <c r="H34" s="126">
        <v>0</v>
      </c>
      <c r="I34" s="126">
        <v>20000</v>
      </c>
      <c r="J34" s="126"/>
      <c r="K34" s="126"/>
      <c r="L34" s="127">
        <f t="shared" si="7"/>
        <v>20000</v>
      </c>
    </row>
    <row r="35" spans="1:12" ht="78.75" x14ac:dyDescent="0.25">
      <c r="A35" s="125" t="s">
        <v>245</v>
      </c>
      <c r="B35" s="125" t="s">
        <v>336</v>
      </c>
      <c r="C35" s="125" t="s">
        <v>338</v>
      </c>
      <c r="D35" s="125" t="s">
        <v>259</v>
      </c>
      <c r="E35" s="126">
        <v>259000</v>
      </c>
      <c r="F35" s="125">
        <v>1</v>
      </c>
      <c r="G35" s="126">
        <f t="shared" si="6"/>
        <v>259000</v>
      </c>
      <c r="H35" s="126">
        <v>0</v>
      </c>
      <c r="I35" s="126">
        <v>40000</v>
      </c>
      <c r="J35" s="126"/>
      <c r="K35" s="126"/>
      <c r="L35" s="127">
        <f t="shared" si="7"/>
        <v>40000</v>
      </c>
    </row>
    <row r="36" spans="1:12" ht="78.75" x14ac:dyDescent="0.25">
      <c r="A36" s="125" t="s">
        <v>245</v>
      </c>
      <c r="B36" s="125" t="s">
        <v>339</v>
      </c>
      <c r="C36" s="125" t="s">
        <v>340</v>
      </c>
      <c r="D36" s="125" t="s">
        <v>329</v>
      </c>
      <c r="E36" s="126">
        <v>259000</v>
      </c>
      <c r="F36" s="125">
        <v>2.5</v>
      </c>
      <c r="G36" s="126">
        <f t="shared" si="6"/>
        <v>647500</v>
      </c>
      <c r="H36" s="126">
        <v>750000</v>
      </c>
      <c r="I36" s="126">
        <v>0</v>
      </c>
      <c r="J36" s="126">
        <v>60000</v>
      </c>
      <c r="K36" s="126">
        <v>0</v>
      </c>
      <c r="L36" s="127">
        <f t="shared" si="7"/>
        <v>60000</v>
      </c>
    </row>
    <row r="37" spans="1:12" ht="78.75" x14ac:dyDescent="0.25">
      <c r="A37" s="125" t="s">
        <v>245</v>
      </c>
      <c r="B37" s="125" t="s">
        <v>341</v>
      </c>
      <c r="C37" s="125" t="s">
        <v>342</v>
      </c>
      <c r="D37" s="125" t="s">
        <v>329</v>
      </c>
      <c r="E37" s="126">
        <v>259000</v>
      </c>
      <c r="F37" s="125">
        <v>1.5</v>
      </c>
      <c r="G37" s="126">
        <f t="shared" si="6"/>
        <v>388500</v>
      </c>
      <c r="H37" s="126">
        <v>0</v>
      </c>
      <c r="I37" s="126">
        <v>0</v>
      </c>
      <c r="J37" s="126"/>
      <c r="K37" s="126"/>
      <c r="L37" s="127">
        <f t="shared" si="7"/>
        <v>0</v>
      </c>
    </row>
    <row r="38" spans="1:12" ht="78.75" x14ac:dyDescent="0.25">
      <c r="A38" s="125" t="s">
        <v>245</v>
      </c>
      <c r="B38" s="125" t="s">
        <v>343</v>
      </c>
      <c r="C38" s="125" t="s">
        <v>344</v>
      </c>
      <c r="D38" s="125" t="s">
        <v>329</v>
      </c>
      <c r="E38" s="126">
        <v>259000</v>
      </c>
      <c r="F38" s="125">
        <v>0.5</v>
      </c>
      <c r="G38" s="126">
        <f t="shared" si="6"/>
        <v>129500</v>
      </c>
      <c r="H38" s="126">
        <v>0</v>
      </c>
      <c r="I38" s="126">
        <v>14000</v>
      </c>
      <c r="J38" s="126">
        <v>0</v>
      </c>
      <c r="K38" s="126">
        <v>0</v>
      </c>
      <c r="L38" s="127">
        <f t="shared" si="7"/>
        <v>14000</v>
      </c>
    </row>
    <row r="39" spans="1:12" ht="78.75" x14ac:dyDescent="0.25">
      <c r="A39" s="125" t="s">
        <v>245</v>
      </c>
      <c r="B39" s="125" t="s">
        <v>343</v>
      </c>
      <c r="C39" s="125" t="s">
        <v>345</v>
      </c>
      <c r="D39" s="125" t="s">
        <v>329</v>
      </c>
      <c r="E39" s="126">
        <v>259000</v>
      </c>
      <c r="F39" s="125">
        <v>0.5</v>
      </c>
      <c r="G39" s="126">
        <f t="shared" si="6"/>
        <v>129500</v>
      </c>
      <c r="H39" s="126">
        <v>0</v>
      </c>
      <c r="I39" s="126">
        <v>14000</v>
      </c>
      <c r="J39" s="126">
        <v>0</v>
      </c>
      <c r="K39" s="126">
        <v>0</v>
      </c>
      <c r="L39" s="127">
        <f t="shared" si="7"/>
        <v>14000</v>
      </c>
    </row>
    <row r="40" spans="1:12" ht="78.75" x14ac:dyDescent="0.25">
      <c r="A40" s="125" t="s">
        <v>245</v>
      </c>
      <c r="B40" s="125" t="s">
        <v>346</v>
      </c>
      <c r="C40" s="125" t="s">
        <v>347</v>
      </c>
      <c r="D40" s="125" t="s">
        <v>259</v>
      </c>
      <c r="E40" s="126">
        <v>259000</v>
      </c>
      <c r="F40" s="125">
        <v>2.5</v>
      </c>
      <c r="G40" s="126">
        <f t="shared" si="6"/>
        <v>647500</v>
      </c>
      <c r="H40" s="126">
        <v>750000</v>
      </c>
      <c r="I40" s="126">
        <v>0</v>
      </c>
      <c r="J40" s="126">
        <v>80000</v>
      </c>
      <c r="K40" s="126">
        <v>0</v>
      </c>
      <c r="L40" s="127">
        <f t="shared" si="7"/>
        <v>80000</v>
      </c>
    </row>
    <row r="41" spans="1:12" ht="78.75" x14ac:dyDescent="0.25">
      <c r="A41" s="125" t="s">
        <v>245</v>
      </c>
      <c r="B41" s="125" t="s">
        <v>348</v>
      </c>
      <c r="C41" s="125" t="s">
        <v>349</v>
      </c>
      <c r="D41" s="125" t="s">
        <v>259</v>
      </c>
      <c r="E41" s="126">
        <v>259000</v>
      </c>
      <c r="F41" s="125">
        <v>1</v>
      </c>
      <c r="G41" s="126">
        <f t="shared" si="6"/>
        <v>259000</v>
      </c>
      <c r="H41" s="126">
        <v>0</v>
      </c>
      <c r="I41" s="126">
        <v>10000</v>
      </c>
      <c r="J41" s="126">
        <v>0</v>
      </c>
      <c r="K41" s="126">
        <v>0</v>
      </c>
      <c r="L41" s="127">
        <f t="shared" si="7"/>
        <v>10000</v>
      </c>
    </row>
    <row r="42" spans="1:12" ht="78.75" x14ac:dyDescent="0.25">
      <c r="A42" s="125" t="s">
        <v>245</v>
      </c>
      <c r="B42" s="125" t="s">
        <v>350</v>
      </c>
      <c r="C42" s="125" t="s">
        <v>351</v>
      </c>
      <c r="D42" s="125" t="s">
        <v>259</v>
      </c>
      <c r="E42" s="126">
        <v>259000</v>
      </c>
      <c r="F42" s="125">
        <v>2.5</v>
      </c>
      <c r="G42" s="126">
        <f t="shared" si="6"/>
        <v>647500</v>
      </c>
      <c r="H42" s="126">
        <v>750000</v>
      </c>
      <c r="I42" s="126">
        <v>0</v>
      </c>
      <c r="J42" s="126">
        <v>80000</v>
      </c>
      <c r="K42" s="126">
        <v>140000</v>
      </c>
      <c r="L42" s="127">
        <f t="shared" si="7"/>
        <v>220000</v>
      </c>
    </row>
    <row r="43" spans="1:12" ht="78.75" x14ac:dyDescent="0.25">
      <c r="A43" s="125" t="s">
        <v>245</v>
      </c>
      <c r="B43" s="125" t="s">
        <v>352</v>
      </c>
      <c r="C43" s="125" t="s">
        <v>282</v>
      </c>
      <c r="D43" s="125" t="s">
        <v>259</v>
      </c>
      <c r="E43" s="126">
        <v>259000</v>
      </c>
      <c r="F43" s="125">
        <v>1</v>
      </c>
      <c r="G43" s="126">
        <f t="shared" si="6"/>
        <v>259000</v>
      </c>
      <c r="H43" s="126">
        <v>0</v>
      </c>
      <c r="I43" s="126">
        <v>0</v>
      </c>
      <c r="J43" s="126"/>
      <c r="K43" s="126"/>
      <c r="L43" s="127">
        <f t="shared" si="7"/>
        <v>0</v>
      </c>
    </row>
    <row r="44" spans="1:12" ht="78.75" x14ac:dyDescent="0.25">
      <c r="A44" s="125" t="s">
        <v>245</v>
      </c>
      <c r="B44" s="125" t="s">
        <v>352</v>
      </c>
      <c r="C44" s="125" t="s">
        <v>353</v>
      </c>
      <c r="D44" s="125" t="s">
        <v>259</v>
      </c>
      <c r="E44" s="126">
        <v>259000</v>
      </c>
      <c r="F44" s="125">
        <v>1</v>
      </c>
      <c r="G44" s="126">
        <f t="shared" si="6"/>
        <v>259000</v>
      </c>
      <c r="H44" s="126">
        <v>0</v>
      </c>
      <c r="I44" s="126">
        <v>0</v>
      </c>
      <c r="J44" s="126"/>
      <c r="K44" s="126"/>
      <c r="L44" s="127">
        <f t="shared" si="7"/>
        <v>0</v>
      </c>
    </row>
    <row r="45" spans="1:12" ht="78.75" x14ac:dyDescent="0.25">
      <c r="A45" s="125" t="s">
        <v>245</v>
      </c>
      <c r="B45" s="125" t="s">
        <v>354</v>
      </c>
      <c r="C45" s="125" t="s">
        <v>355</v>
      </c>
      <c r="D45" s="125" t="s">
        <v>259</v>
      </c>
      <c r="E45" s="126">
        <v>259000</v>
      </c>
      <c r="F45" s="125">
        <v>2.5</v>
      </c>
      <c r="G45" s="126">
        <f t="shared" si="6"/>
        <v>647500</v>
      </c>
      <c r="H45" s="126">
        <v>750000</v>
      </c>
      <c r="I45" s="126"/>
      <c r="J45" s="126">
        <v>80000</v>
      </c>
      <c r="K45" s="126">
        <v>100000</v>
      </c>
      <c r="L45" s="127">
        <f t="shared" si="7"/>
        <v>180000</v>
      </c>
    </row>
    <row r="46" spans="1:12" ht="78.75" x14ac:dyDescent="0.25">
      <c r="A46" s="125" t="s">
        <v>245</v>
      </c>
      <c r="B46" s="125" t="s">
        <v>356</v>
      </c>
      <c r="C46" s="125" t="s">
        <v>349</v>
      </c>
      <c r="D46" s="125" t="s">
        <v>259</v>
      </c>
      <c r="E46" s="126">
        <v>259000</v>
      </c>
      <c r="F46" s="125">
        <v>1</v>
      </c>
      <c r="G46" s="126">
        <f t="shared" si="6"/>
        <v>259000</v>
      </c>
      <c r="H46" s="126">
        <v>0</v>
      </c>
      <c r="I46" s="126">
        <v>80000</v>
      </c>
      <c r="J46" s="126">
        <v>0</v>
      </c>
      <c r="K46" s="126">
        <v>0</v>
      </c>
      <c r="L46" s="127">
        <f t="shared" si="7"/>
        <v>80000</v>
      </c>
    </row>
    <row r="47" spans="1:12" ht="78.75" x14ac:dyDescent="0.25">
      <c r="A47" s="125" t="s">
        <v>245</v>
      </c>
      <c r="B47" s="125" t="s">
        <v>356</v>
      </c>
      <c r="C47" s="125" t="s">
        <v>349</v>
      </c>
      <c r="D47" s="125" t="s">
        <v>259</v>
      </c>
      <c r="E47" s="126">
        <v>259000</v>
      </c>
      <c r="F47" s="125">
        <v>1</v>
      </c>
      <c r="G47" s="126">
        <f t="shared" si="6"/>
        <v>259000</v>
      </c>
      <c r="H47" s="126">
        <v>0</v>
      </c>
      <c r="I47" s="126">
        <v>40000</v>
      </c>
      <c r="J47" s="126">
        <v>0</v>
      </c>
      <c r="K47" s="126">
        <v>0</v>
      </c>
      <c r="L47" s="127">
        <f t="shared" si="7"/>
        <v>40000</v>
      </c>
    </row>
    <row r="48" spans="1:12" ht="78.75" x14ac:dyDescent="0.25">
      <c r="A48" s="125" t="s">
        <v>245</v>
      </c>
      <c r="B48" s="125" t="s">
        <v>343</v>
      </c>
      <c r="C48" s="125" t="s">
        <v>342</v>
      </c>
      <c r="D48" s="125" t="s">
        <v>329</v>
      </c>
      <c r="E48" s="126">
        <v>259000</v>
      </c>
      <c r="F48" s="125">
        <v>0.5</v>
      </c>
      <c r="G48" s="126">
        <f t="shared" si="6"/>
        <v>129500</v>
      </c>
      <c r="H48" s="126">
        <v>0</v>
      </c>
      <c r="I48" s="126">
        <v>0</v>
      </c>
      <c r="J48" s="126">
        <v>0</v>
      </c>
      <c r="K48" s="126">
        <v>0</v>
      </c>
      <c r="L48" s="127">
        <f t="shared" si="7"/>
        <v>0</v>
      </c>
    </row>
    <row r="49" spans="1:12" ht="78.75" x14ac:dyDescent="0.25">
      <c r="A49" s="125" t="s">
        <v>245</v>
      </c>
      <c r="B49" s="125" t="s">
        <v>343</v>
      </c>
      <c r="C49" s="125" t="s">
        <v>344</v>
      </c>
      <c r="D49" s="125" t="s">
        <v>329</v>
      </c>
      <c r="E49" s="126">
        <v>259000</v>
      </c>
      <c r="F49" s="125">
        <v>0.5</v>
      </c>
      <c r="G49" s="126">
        <f t="shared" si="6"/>
        <v>129500</v>
      </c>
      <c r="H49" s="126">
        <v>0</v>
      </c>
      <c r="I49" s="126">
        <v>14000</v>
      </c>
      <c r="J49" s="126">
        <v>0</v>
      </c>
      <c r="K49" s="126">
        <v>0</v>
      </c>
      <c r="L49" s="127">
        <f t="shared" si="7"/>
        <v>14000</v>
      </c>
    </row>
    <row r="50" spans="1:12" ht="78.75" x14ac:dyDescent="0.25">
      <c r="A50" s="125" t="s">
        <v>245</v>
      </c>
      <c r="B50" s="125" t="s">
        <v>343</v>
      </c>
      <c r="C50" s="125" t="s">
        <v>345</v>
      </c>
      <c r="D50" s="125" t="s">
        <v>329</v>
      </c>
      <c r="E50" s="126">
        <v>259000</v>
      </c>
      <c r="F50" s="125">
        <v>0.5</v>
      </c>
      <c r="G50" s="126">
        <f t="shared" si="6"/>
        <v>129500</v>
      </c>
      <c r="H50" s="126">
        <v>0</v>
      </c>
      <c r="I50" s="126">
        <v>14000</v>
      </c>
      <c r="J50" s="126">
        <v>0</v>
      </c>
      <c r="K50" s="126">
        <v>0</v>
      </c>
      <c r="L50" s="127">
        <f t="shared" si="7"/>
        <v>14000</v>
      </c>
    </row>
    <row r="51" spans="1:12" ht="78.75" x14ac:dyDescent="0.25">
      <c r="A51" s="125" t="s">
        <v>245</v>
      </c>
      <c r="B51" s="125" t="s">
        <v>357</v>
      </c>
      <c r="C51" s="125" t="s">
        <v>347</v>
      </c>
      <c r="D51" s="125" t="s">
        <v>259</v>
      </c>
      <c r="E51" s="126">
        <v>259000</v>
      </c>
      <c r="F51" s="125">
        <v>1.5</v>
      </c>
      <c r="G51" s="126">
        <f t="shared" si="6"/>
        <v>388500</v>
      </c>
      <c r="H51" s="126">
        <v>750000</v>
      </c>
      <c r="I51" s="126">
        <v>0</v>
      </c>
      <c r="J51" s="126">
        <v>80000</v>
      </c>
      <c r="K51" s="126">
        <v>0</v>
      </c>
      <c r="L51" s="127">
        <f t="shared" si="7"/>
        <v>80000</v>
      </c>
    </row>
    <row r="52" spans="1:12" ht="78.75" x14ac:dyDescent="0.25">
      <c r="A52" s="125" t="s">
        <v>245</v>
      </c>
      <c r="B52" s="125" t="s">
        <v>357</v>
      </c>
      <c r="C52" s="125" t="s">
        <v>349</v>
      </c>
      <c r="D52" s="125" t="s">
        <v>259</v>
      </c>
      <c r="E52" s="126">
        <v>259000</v>
      </c>
      <c r="F52" s="125">
        <v>1</v>
      </c>
      <c r="G52" s="126">
        <f t="shared" si="6"/>
        <v>259000</v>
      </c>
      <c r="H52" s="126">
        <v>0</v>
      </c>
      <c r="I52" s="126">
        <v>20000</v>
      </c>
      <c r="J52" s="126">
        <v>0</v>
      </c>
      <c r="K52" s="126">
        <v>0</v>
      </c>
      <c r="L52" s="127">
        <f t="shared" si="7"/>
        <v>20000</v>
      </c>
    </row>
    <row r="53" spans="1:12" ht="78.75" x14ac:dyDescent="0.25">
      <c r="A53" s="125" t="s">
        <v>245</v>
      </c>
      <c r="B53" s="125" t="s">
        <v>352</v>
      </c>
      <c r="C53" s="125" t="s">
        <v>351</v>
      </c>
      <c r="D53" s="125" t="s">
        <v>259</v>
      </c>
      <c r="E53" s="126">
        <v>259000</v>
      </c>
      <c r="F53" s="125">
        <v>1.5</v>
      </c>
      <c r="G53" s="126">
        <f t="shared" si="6"/>
        <v>388500</v>
      </c>
      <c r="H53" s="126">
        <v>750000</v>
      </c>
      <c r="I53" s="126">
        <v>0</v>
      </c>
      <c r="J53" s="126">
        <v>80000</v>
      </c>
      <c r="K53" s="126">
        <v>140000</v>
      </c>
      <c r="L53" s="127">
        <f t="shared" si="7"/>
        <v>220000</v>
      </c>
    </row>
    <row r="54" spans="1:12" ht="78.75" x14ac:dyDescent="0.25">
      <c r="A54" s="125" t="s">
        <v>245</v>
      </c>
      <c r="B54" s="125" t="s">
        <v>352</v>
      </c>
      <c r="C54" s="125" t="s">
        <v>353</v>
      </c>
      <c r="D54" s="125" t="s">
        <v>259</v>
      </c>
      <c r="E54" s="126">
        <v>259000</v>
      </c>
      <c r="F54" s="125">
        <v>1</v>
      </c>
      <c r="G54" s="126">
        <f t="shared" si="6"/>
        <v>259000</v>
      </c>
      <c r="H54" s="126">
        <v>0</v>
      </c>
      <c r="I54" s="126">
        <v>0</v>
      </c>
      <c r="J54" s="126">
        <v>0</v>
      </c>
      <c r="K54" s="126">
        <v>0</v>
      </c>
      <c r="L54" s="127">
        <f t="shared" si="7"/>
        <v>0</v>
      </c>
    </row>
    <row r="55" spans="1:12" ht="78.75" x14ac:dyDescent="0.25">
      <c r="A55" s="125" t="s">
        <v>245</v>
      </c>
      <c r="B55" s="125" t="s">
        <v>352</v>
      </c>
      <c r="C55" s="125" t="s">
        <v>282</v>
      </c>
      <c r="D55" s="125" t="s">
        <v>259</v>
      </c>
      <c r="E55" s="126">
        <v>259000</v>
      </c>
      <c r="F55" s="125">
        <v>1</v>
      </c>
      <c r="G55" s="126">
        <f t="shared" si="6"/>
        <v>259000</v>
      </c>
      <c r="H55" s="126">
        <v>0</v>
      </c>
      <c r="I55" s="126">
        <v>0</v>
      </c>
      <c r="J55" s="126">
        <v>0</v>
      </c>
      <c r="K55" s="126">
        <v>0</v>
      </c>
      <c r="L55" s="127">
        <f t="shared" si="7"/>
        <v>0</v>
      </c>
    </row>
    <row r="56" spans="1:12" ht="78.75" x14ac:dyDescent="0.25">
      <c r="A56" s="125" t="s">
        <v>245</v>
      </c>
      <c r="B56" s="125" t="s">
        <v>356</v>
      </c>
      <c r="C56" s="125" t="s">
        <v>355</v>
      </c>
      <c r="D56" s="125" t="s">
        <v>259</v>
      </c>
      <c r="E56" s="126">
        <v>259000</v>
      </c>
      <c r="F56" s="125">
        <v>1.5</v>
      </c>
      <c r="G56" s="126">
        <f t="shared" si="6"/>
        <v>388500</v>
      </c>
      <c r="H56" s="126">
        <v>750000</v>
      </c>
      <c r="I56" s="126"/>
      <c r="J56" s="126">
        <v>80000</v>
      </c>
      <c r="K56" s="126">
        <v>100000</v>
      </c>
      <c r="L56" s="127">
        <f t="shared" si="7"/>
        <v>180000</v>
      </c>
    </row>
    <row r="57" spans="1:12" ht="78.75" x14ac:dyDescent="0.25">
      <c r="A57" s="125" t="s">
        <v>245</v>
      </c>
      <c r="B57" s="125" t="s">
        <v>356</v>
      </c>
      <c r="C57" s="125" t="s">
        <v>349</v>
      </c>
      <c r="D57" s="125" t="s">
        <v>259</v>
      </c>
      <c r="E57" s="126">
        <v>259000</v>
      </c>
      <c r="F57" s="125">
        <v>1</v>
      </c>
      <c r="G57" s="126">
        <f t="shared" si="6"/>
        <v>259000</v>
      </c>
      <c r="H57" s="126">
        <v>0</v>
      </c>
      <c r="I57" s="126">
        <v>80000</v>
      </c>
      <c r="J57" s="126">
        <v>0</v>
      </c>
      <c r="K57" s="126">
        <v>0</v>
      </c>
      <c r="L57" s="127">
        <f t="shared" si="7"/>
        <v>80000</v>
      </c>
    </row>
    <row r="58" spans="1:12" ht="78.75" x14ac:dyDescent="0.25">
      <c r="A58" s="125" t="s">
        <v>245</v>
      </c>
      <c r="B58" s="125" t="s">
        <v>356</v>
      </c>
      <c r="C58" s="125" t="s">
        <v>349</v>
      </c>
      <c r="D58" s="125" t="s">
        <v>259</v>
      </c>
      <c r="E58" s="126">
        <v>259000</v>
      </c>
      <c r="F58" s="125">
        <v>1</v>
      </c>
      <c r="G58" s="126">
        <f t="shared" si="6"/>
        <v>259000</v>
      </c>
      <c r="H58" s="126">
        <v>0</v>
      </c>
      <c r="I58" s="126">
        <v>40000</v>
      </c>
      <c r="J58" s="126">
        <v>0</v>
      </c>
      <c r="K58" s="126">
        <v>0</v>
      </c>
      <c r="L58" s="127">
        <f t="shared" si="7"/>
        <v>40000</v>
      </c>
    </row>
    <row r="59" spans="1:12" ht="78.75" x14ac:dyDescent="0.25">
      <c r="A59" s="125" t="s">
        <v>245</v>
      </c>
      <c r="B59" s="125" t="s">
        <v>358</v>
      </c>
      <c r="C59" s="125" t="s">
        <v>359</v>
      </c>
      <c r="D59" s="125" t="s">
        <v>329</v>
      </c>
      <c r="E59" s="126">
        <v>259000</v>
      </c>
      <c r="F59" s="125">
        <v>2.5</v>
      </c>
      <c r="G59" s="126">
        <f t="shared" si="6"/>
        <v>647500</v>
      </c>
      <c r="H59" s="126">
        <v>750000</v>
      </c>
      <c r="I59" s="126">
        <v>0</v>
      </c>
      <c r="J59" s="126">
        <v>60000</v>
      </c>
      <c r="K59" s="126">
        <v>0</v>
      </c>
      <c r="L59" s="127">
        <f t="shared" si="7"/>
        <v>60000</v>
      </c>
    </row>
    <row r="60" spans="1:12" ht="78.75" x14ac:dyDescent="0.25">
      <c r="A60" s="125" t="s">
        <v>245</v>
      </c>
      <c r="B60" s="125" t="s">
        <v>358</v>
      </c>
      <c r="C60" s="125" t="s">
        <v>360</v>
      </c>
      <c r="D60" s="125" t="s">
        <v>329</v>
      </c>
      <c r="E60" s="126">
        <v>259000</v>
      </c>
      <c r="F60" s="125">
        <v>1</v>
      </c>
      <c r="G60" s="126">
        <f t="shared" si="6"/>
        <v>259000</v>
      </c>
      <c r="H60" s="126">
        <v>0</v>
      </c>
      <c r="I60" s="126">
        <v>20000</v>
      </c>
      <c r="J60" s="126">
        <v>0</v>
      </c>
      <c r="K60" s="126">
        <v>0</v>
      </c>
      <c r="L60" s="127">
        <f t="shared" si="7"/>
        <v>20000</v>
      </c>
    </row>
    <row r="61" spans="1:12" ht="78.75" x14ac:dyDescent="0.25">
      <c r="A61" s="125" t="s">
        <v>245</v>
      </c>
      <c r="B61" s="125" t="s">
        <v>358</v>
      </c>
      <c r="C61" s="125" t="s">
        <v>361</v>
      </c>
      <c r="D61" s="125" t="s">
        <v>329</v>
      </c>
      <c r="E61" s="126">
        <v>259000</v>
      </c>
      <c r="F61" s="125">
        <v>1</v>
      </c>
      <c r="G61" s="126">
        <f t="shared" si="6"/>
        <v>259000</v>
      </c>
      <c r="H61" s="126">
        <v>0</v>
      </c>
      <c r="I61" s="126">
        <v>80000</v>
      </c>
      <c r="J61" s="126">
        <v>0</v>
      </c>
      <c r="K61" s="126">
        <v>0</v>
      </c>
      <c r="L61" s="127">
        <f t="shared" si="7"/>
        <v>80000</v>
      </c>
    </row>
    <row r="62" spans="1:12" ht="78.75" x14ac:dyDescent="0.25">
      <c r="A62" s="125" t="s">
        <v>245</v>
      </c>
      <c r="B62" s="125" t="s">
        <v>358</v>
      </c>
      <c r="C62" s="125" t="s">
        <v>362</v>
      </c>
      <c r="D62" s="125" t="s">
        <v>329</v>
      </c>
      <c r="E62" s="126">
        <v>259000</v>
      </c>
      <c r="F62" s="125">
        <v>1</v>
      </c>
      <c r="G62" s="126">
        <f t="shared" si="6"/>
        <v>259000</v>
      </c>
      <c r="H62" s="126">
        <v>0</v>
      </c>
      <c r="I62" s="126">
        <v>60000</v>
      </c>
      <c r="J62" s="126">
        <v>0</v>
      </c>
      <c r="K62" s="126">
        <v>0</v>
      </c>
      <c r="L62" s="127">
        <f t="shared" si="7"/>
        <v>60000</v>
      </c>
    </row>
    <row r="63" spans="1:12" ht="78.75" x14ac:dyDescent="0.25">
      <c r="A63" s="125" t="s">
        <v>245</v>
      </c>
      <c r="B63" s="125" t="s">
        <v>363</v>
      </c>
      <c r="C63" s="125" t="s">
        <v>364</v>
      </c>
      <c r="D63" s="125" t="s">
        <v>329</v>
      </c>
      <c r="E63" s="126">
        <v>259000</v>
      </c>
      <c r="F63" s="125">
        <v>2.5</v>
      </c>
      <c r="G63" s="126">
        <f t="shared" si="6"/>
        <v>647500</v>
      </c>
      <c r="H63" s="126">
        <v>750000</v>
      </c>
      <c r="I63" s="126">
        <v>40000</v>
      </c>
      <c r="J63" s="126">
        <v>60000</v>
      </c>
      <c r="K63" s="126">
        <v>0</v>
      </c>
      <c r="L63" s="127">
        <f t="shared" si="7"/>
        <v>100000</v>
      </c>
    </row>
    <row r="64" spans="1:12" ht="78.75" x14ac:dyDescent="0.25">
      <c r="A64" s="125" t="s">
        <v>245</v>
      </c>
      <c r="B64" s="125" t="s">
        <v>363</v>
      </c>
      <c r="C64" s="125" t="s">
        <v>365</v>
      </c>
      <c r="D64" s="125" t="s">
        <v>329</v>
      </c>
      <c r="E64" s="126">
        <v>259000</v>
      </c>
      <c r="F64" s="125">
        <v>2</v>
      </c>
      <c r="G64" s="126">
        <f t="shared" si="6"/>
        <v>518000</v>
      </c>
      <c r="H64" s="126">
        <v>0</v>
      </c>
      <c r="I64" s="126">
        <v>15000</v>
      </c>
      <c r="J64" s="126">
        <v>0</v>
      </c>
      <c r="K64" s="126">
        <v>0</v>
      </c>
      <c r="L64" s="127">
        <f t="shared" si="7"/>
        <v>15000</v>
      </c>
    </row>
    <row r="65" spans="1:12" ht="78.75" x14ac:dyDescent="0.25">
      <c r="A65" s="125" t="s">
        <v>245</v>
      </c>
      <c r="B65" s="125" t="s">
        <v>366</v>
      </c>
      <c r="C65" s="125" t="s">
        <v>367</v>
      </c>
      <c r="D65" s="125" t="s">
        <v>329</v>
      </c>
      <c r="E65" s="126">
        <v>259000</v>
      </c>
      <c r="F65" s="125">
        <v>1.5</v>
      </c>
      <c r="G65" s="126">
        <f t="shared" si="6"/>
        <v>388500</v>
      </c>
      <c r="H65" s="126">
        <v>0</v>
      </c>
      <c r="I65" s="126"/>
      <c r="J65" s="126"/>
      <c r="K65" s="126"/>
      <c r="L65" s="127">
        <f t="shared" si="7"/>
        <v>0</v>
      </c>
    </row>
    <row r="66" spans="1:12" ht="78.75" x14ac:dyDescent="0.25">
      <c r="A66" s="125" t="s">
        <v>245</v>
      </c>
      <c r="B66" s="125" t="s">
        <v>368</v>
      </c>
      <c r="C66" s="125" t="s">
        <v>369</v>
      </c>
      <c r="D66" s="125" t="s">
        <v>329</v>
      </c>
      <c r="E66" s="126">
        <v>259000</v>
      </c>
      <c r="F66" s="125">
        <v>2.5</v>
      </c>
      <c r="G66" s="126">
        <f t="shared" si="6"/>
        <v>647500</v>
      </c>
      <c r="H66" s="126">
        <v>750000</v>
      </c>
      <c r="I66" s="126">
        <v>0</v>
      </c>
      <c r="J66" s="126">
        <v>60000</v>
      </c>
      <c r="K66" s="126">
        <v>0</v>
      </c>
      <c r="L66" s="127">
        <f t="shared" si="7"/>
        <v>60000</v>
      </c>
    </row>
    <row r="67" spans="1:12" ht="78.75" x14ac:dyDescent="0.25">
      <c r="A67" s="125" t="s">
        <v>245</v>
      </c>
      <c r="B67" s="125" t="s">
        <v>368</v>
      </c>
      <c r="C67" s="125" t="s">
        <v>349</v>
      </c>
      <c r="D67" s="125" t="s">
        <v>329</v>
      </c>
      <c r="E67" s="126">
        <v>259000</v>
      </c>
      <c r="F67" s="125">
        <v>1</v>
      </c>
      <c r="G67" s="126">
        <f t="shared" si="6"/>
        <v>259000</v>
      </c>
      <c r="H67" s="126">
        <v>0</v>
      </c>
      <c r="I67" s="126">
        <v>50000</v>
      </c>
      <c r="J67" s="126">
        <v>0</v>
      </c>
      <c r="K67" s="126">
        <v>0</v>
      </c>
      <c r="L67" s="127">
        <f t="shared" si="7"/>
        <v>50000</v>
      </c>
    </row>
    <row r="68" spans="1:12" ht="78.75" x14ac:dyDescent="0.25">
      <c r="A68" s="125" t="s">
        <v>245</v>
      </c>
      <c r="B68" s="125" t="s">
        <v>370</v>
      </c>
      <c r="C68" s="125" t="s">
        <v>371</v>
      </c>
      <c r="D68" s="125" t="s">
        <v>329</v>
      </c>
      <c r="E68" s="126">
        <v>259000</v>
      </c>
      <c r="F68" s="125">
        <v>3.5</v>
      </c>
      <c r="G68" s="126">
        <f t="shared" si="6"/>
        <v>906500</v>
      </c>
      <c r="H68" s="126">
        <v>750000</v>
      </c>
      <c r="I68" s="126">
        <v>0</v>
      </c>
      <c r="J68" s="126">
        <v>60000</v>
      </c>
      <c r="K68" s="126">
        <v>0</v>
      </c>
      <c r="L68" s="127">
        <f t="shared" si="7"/>
        <v>60000</v>
      </c>
    </row>
    <row r="69" spans="1:12" ht="54" customHeight="1" x14ac:dyDescent="0.25">
      <c r="A69" s="118"/>
      <c r="B69" s="118"/>
      <c r="C69" s="118"/>
      <c r="D69" s="118"/>
      <c r="E69" s="118"/>
      <c r="F69" s="118"/>
      <c r="G69" s="119">
        <f t="shared" ref="G69:L69" si="8">SUM(G29:G68)</f>
        <v>14504000</v>
      </c>
      <c r="H69" s="119">
        <f t="shared" si="8"/>
        <v>9750000</v>
      </c>
      <c r="I69" s="119">
        <f t="shared" si="8"/>
        <v>651000</v>
      </c>
      <c r="J69" s="119">
        <f t="shared" si="8"/>
        <v>920000</v>
      </c>
      <c r="K69" s="119">
        <f t="shared" si="8"/>
        <v>530000</v>
      </c>
      <c r="L69" s="120">
        <f t="shared" si="8"/>
        <v>2101000</v>
      </c>
    </row>
    <row r="70" spans="1:12" ht="78.75" x14ac:dyDescent="0.25">
      <c r="A70" s="115" t="s">
        <v>325</v>
      </c>
      <c r="B70" s="115" t="s">
        <v>336</v>
      </c>
      <c r="C70" s="115" t="s">
        <v>372</v>
      </c>
      <c r="D70" s="115" t="s">
        <v>373</v>
      </c>
      <c r="E70" s="116">
        <v>297000</v>
      </c>
      <c r="F70" s="115">
        <v>2.5</v>
      </c>
      <c r="G70" s="116">
        <f t="shared" ref="G70:G93" si="9">E70*F70</f>
        <v>742500</v>
      </c>
      <c r="H70" s="116">
        <v>750000</v>
      </c>
      <c r="I70" s="116"/>
      <c r="J70" s="116">
        <v>80000</v>
      </c>
      <c r="K70" s="116"/>
      <c r="L70" s="117">
        <f t="shared" ref="L70:L83" si="10">I70+J70+K70</f>
        <v>80000</v>
      </c>
    </row>
    <row r="71" spans="1:12" ht="78.75" x14ac:dyDescent="0.25">
      <c r="A71" s="115" t="s">
        <v>325</v>
      </c>
      <c r="B71" s="115" t="s">
        <v>336</v>
      </c>
      <c r="C71" s="115" t="s">
        <v>337</v>
      </c>
      <c r="D71" s="115" t="s">
        <v>373</v>
      </c>
      <c r="E71" s="116">
        <v>297000</v>
      </c>
      <c r="F71" s="115">
        <v>1</v>
      </c>
      <c r="G71" s="116">
        <f t="shared" si="9"/>
        <v>297000</v>
      </c>
      <c r="H71" s="116">
        <v>0</v>
      </c>
      <c r="I71" s="116">
        <v>20000</v>
      </c>
      <c r="J71" s="116">
        <v>0</v>
      </c>
      <c r="K71" s="116">
        <v>0</v>
      </c>
      <c r="L71" s="117">
        <f t="shared" si="10"/>
        <v>20000</v>
      </c>
    </row>
    <row r="72" spans="1:12" ht="78.75" x14ac:dyDescent="0.25">
      <c r="A72" s="115" t="s">
        <v>325</v>
      </c>
      <c r="B72" s="115" t="s">
        <v>336</v>
      </c>
      <c r="C72" s="115" t="s">
        <v>338</v>
      </c>
      <c r="D72" s="115" t="s">
        <v>373</v>
      </c>
      <c r="E72" s="116">
        <v>297000</v>
      </c>
      <c r="F72" s="115">
        <v>1</v>
      </c>
      <c r="G72" s="116">
        <f t="shared" si="9"/>
        <v>297000</v>
      </c>
      <c r="H72" s="116">
        <v>0</v>
      </c>
      <c r="I72" s="116">
        <v>40000</v>
      </c>
      <c r="J72" s="116">
        <v>0</v>
      </c>
      <c r="K72" s="116">
        <v>0</v>
      </c>
      <c r="L72" s="117">
        <f t="shared" si="10"/>
        <v>40000</v>
      </c>
    </row>
    <row r="73" spans="1:12" ht="78.75" x14ac:dyDescent="0.25">
      <c r="A73" s="115" t="s">
        <v>325</v>
      </c>
      <c r="B73" s="115" t="s">
        <v>368</v>
      </c>
      <c r="C73" s="115" t="s">
        <v>369</v>
      </c>
      <c r="D73" s="115" t="s">
        <v>374</v>
      </c>
      <c r="E73" s="116">
        <v>297000</v>
      </c>
      <c r="F73" s="115">
        <v>3.5</v>
      </c>
      <c r="G73" s="116">
        <f t="shared" si="9"/>
        <v>1039500</v>
      </c>
      <c r="H73" s="116">
        <v>750000</v>
      </c>
      <c r="I73" s="116">
        <v>0</v>
      </c>
      <c r="J73" s="116">
        <v>120000</v>
      </c>
      <c r="K73" s="116">
        <v>0</v>
      </c>
      <c r="L73" s="117">
        <f t="shared" si="10"/>
        <v>120000</v>
      </c>
    </row>
    <row r="74" spans="1:12" ht="78.75" x14ac:dyDescent="0.25">
      <c r="A74" s="115" t="s">
        <v>325</v>
      </c>
      <c r="B74" s="115" t="s">
        <v>368</v>
      </c>
      <c r="C74" s="115" t="s">
        <v>349</v>
      </c>
      <c r="D74" s="115" t="s">
        <v>374</v>
      </c>
      <c r="E74" s="116">
        <v>297000</v>
      </c>
      <c r="F74" s="115">
        <v>1</v>
      </c>
      <c r="G74" s="116">
        <f t="shared" si="9"/>
        <v>297000</v>
      </c>
      <c r="H74" s="116">
        <v>0</v>
      </c>
      <c r="I74" s="116">
        <v>50000</v>
      </c>
      <c r="J74" s="116">
        <v>0</v>
      </c>
      <c r="K74" s="116">
        <v>0</v>
      </c>
      <c r="L74" s="117">
        <f t="shared" si="10"/>
        <v>50000</v>
      </c>
    </row>
    <row r="75" spans="1:12" ht="78.75" x14ac:dyDescent="0.25">
      <c r="A75" s="115" t="s">
        <v>325</v>
      </c>
      <c r="B75" s="115" t="s">
        <v>343</v>
      </c>
      <c r="C75" s="115" t="s">
        <v>342</v>
      </c>
      <c r="D75" s="115" t="s">
        <v>375</v>
      </c>
      <c r="E75" s="116">
        <v>297000</v>
      </c>
      <c r="F75" s="115">
        <v>1.5</v>
      </c>
      <c r="G75" s="116">
        <f t="shared" si="9"/>
        <v>445500</v>
      </c>
      <c r="H75" s="116">
        <v>0</v>
      </c>
      <c r="I75" s="116">
        <v>0</v>
      </c>
      <c r="J75" s="116">
        <v>0</v>
      </c>
      <c r="K75" s="116">
        <v>0</v>
      </c>
      <c r="L75" s="117">
        <f t="shared" si="10"/>
        <v>0</v>
      </c>
    </row>
    <row r="76" spans="1:12" ht="78.75" x14ac:dyDescent="0.25">
      <c r="A76" s="115" t="s">
        <v>325</v>
      </c>
      <c r="B76" s="115" t="s">
        <v>343</v>
      </c>
      <c r="C76" s="115" t="s">
        <v>345</v>
      </c>
      <c r="D76" s="115" t="s">
        <v>375</v>
      </c>
      <c r="E76" s="116">
        <v>297000</v>
      </c>
      <c r="F76" s="115">
        <v>0.5</v>
      </c>
      <c r="G76" s="116">
        <f t="shared" si="9"/>
        <v>148500</v>
      </c>
      <c r="H76" s="116">
        <v>0</v>
      </c>
      <c r="I76" s="116">
        <v>14000</v>
      </c>
      <c r="J76" s="116">
        <v>0</v>
      </c>
      <c r="K76" s="116">
        <v>0</v>
      </c>
      <c r="L76" s="117">
        <f t="shared" si="10"/>
        <v>14000</v>
      </c>
    </row>
    <row r="77" spans="1:12" ht="78.75" x14ac:dyDescent="0.25">
      <c r="A77" s="115" t="s">
        <v>325</v>
      </c>
      <c r="B77" s="115" t="s">
        <v>343</v>
      </c>
      <c r="C77" s="115" t="s">
        <v>344</v>
      </c>
      <c r="D77" s="115" t="s">
        <v>375</v>
      </c>
      <c r="E77" s="116">
        <v>297000</v>
      </c>
      <c r="F77" s="115">
        <v>0.5</v>
      </c>
      <c r="G77" s="116">
        <f t="shared" si="9"/>
        <v>148500</v>
      </c>
      <c r="H77" s="116">
        <v>0</v>
      </c>
      <c r="I77" s="116">
        <v>14000</v>
      </c>
      <c r="J77" s="116">
        <v>0</v>
      </c>
      <c r="K77" s="116">
        <v>0</v>
      </c>
      <c r="L77" s="117">
        <f t="shared" si="10"/>
        <v>14000</v>
      </c>
    </row>
    <row r="78" spans="1:12" ht="78.75" x14ac:dyDescent="0.25">
      <c r="A78" s="115" t="s">
        <v>325</v>
      </c>
      <c r="B78" s="115" t="s">
        <v>376</v>
      </c>
      <c r="C78" s="115" t="s">
        <v>377</v>
      </c>
      <c r="D78" s="115" t="s">
        <v>373</v>
      </c>
      <c r="E78" s="116">
        <v>297000</v>
      </c>
      <c r="F78" s="115">
        <v>3.5</v>
      </c>
      <c r="G78" s="116">
        <f t="shared" si="9"/>
        <v>1039500</v>
      </c>
      <c r="H78" s="116">
        <v>750000</v>
      </c>
      <c r="I78" s="116"/>
      <c r="J78" s="116">
        <v>80000</v>
      </c>
      <c r="K78" s="116">
        <v>0</v>
      </c>
      <c r="L78" s="117">
        <f t="shared" si="10"/>
        <v>80000</v>
      </c>
    </row>
    <row r="79" spans="1:12" ht="78.75" x14ac:dyDescent="0.25">
      <c r="A79" s="115" t="s">
        <v>325</v>
      </c>
      <c r="B79" s="115" t="s">
        <v>376</v>
      </c>
      <c r="C79" s="115" t="s">
        <v>378</v>
      </c>
      <c r="D79" s="115" t="s">
        <v>373</v>
      </c>
      <c r="E79" s="116">
        <v>297000</v>
      </c>
      <c r="F79" s="115">
        <v>1</v>
      </c>
      <c r="G79" s="116">
        <f t="shared" si="9"/>
        <v>297000</v>
      </c>
      <c r="H79" s="116">
        <v>0</v>
      </c>
      <c r="I79" s="116">
        <v>40000</v>
      </c>
      <c r="J79" s="116">
        <v>0</v>
      </c>
      <c r="K79" s="116"/>
      <c r="L79" s="117">
        <f t="shared" si="10"/>
        <v>40000</v>
      </c>
    </row>
    <row r="80" spans="1:12" ht="78.75" x14ac:dyDescent="0.25">
      <c r="A80" s="115" t="s">
        <v>325</v>
      </c>
      <c r="B80" s="115" t="s">
        <v>357</v>
      </c>
      <c r="C80" s="115" t="s">
        <v>347</v>
      </c>
      <c r="D80" s="115" t="s">
        <v>379</v>
      </c>
      <c r="E80" s="116">
        <v>297000</v>
      </c>
      <c r="F80" s="115">
        <v>2.5</v>
      </c>
      <c r="G80" s="116">
        <f t="shared" si="9"/>
        <v>742500</v>
      </c>
      <c r="H80" s="116">
        <v>750000</v>
      </c>
      <c r="I80" s="116">
        <v>0</v>
      </c>
      <c r="J80" s="116">
        <v>120000</v>
      </c>
      <c r="K80" s="116">
        <v>0</v>
      </c>
      <c r="L80" s="117">
        <f t="shared" si="10"/>
        <v>120000</v>
      </c>
    </row>
    <row r="81" spans="1:12" ht="78.75" x14ac:dyDescent="0.25">
      <c r="A81" s="115" t="s">
        <v>325</v>
      </c>
      <c r="B81" s="115" t="s">
        <v>357</v>
      </c>
      <c r="C81" s="115" t="s">
        <v>349</v>
      </c>
      <c r="D81" s="115" t="s">
        <v>379</v>
      </c>
      <c r="E81" s="116">
        <v>297000</v>
      </c>
      <c r="F81" s="115">
        <v>1</v>
      </c>
      <c r="G81" s="116">
        <f t="shared" si="9"/>
        <v>297000</v>
      </c>
      <c r="H81" s="116">
        <v>0</v>
      </c>
      <c r="I81" s="116">
        <v>20000</v>
      </c>
      <c r="J81" s="116">
        <v>0</v>
      </c>
      <c r="K81" s="116">
        <v>0</v>
      </c>
      <c r="L81" s="117">
        <f t="shared" si="10"/>
        <v>20000</v>
      </c>
    </row>
    <row r="82" spans="1:12" ht="78.75" x14ac:dyDescent="0.25">
      <c r="A82" s="115" t="s">
        <v>325</v>
      </c>
      <c r="B82" s="115" t="s">
        <v>352</v>
      </c>
      <c r="C82" s="115" t="s">
        <v>351</v>
      </c>
      <c r="D82" s="115" t="s">
        <v>373</v>
      </c>
      <c r="E82" s="116">
        <v>297000</v>
      </c>
      <c r="F82" s="115">
        <v>2.5</v>
      </c>
      <c r="G82" s="116">
        <f t="shared" si="9"/>
        <v>742500</v>
      </c>
      <c r="H82" s="116">
        <v>750000</v>
      </c>
      <c r="I82" s="116">
        <v>0</v>
      </c>
      <c r="J82" s="116">
        <v>80000</v>
      </c>
      <c r="K82" s="116">
        <v>140000</v>
      </c>
      <c r="L82" s="117">
        <f t="shared" si="10"/>
        <v>220000</v>
      </c>
    </row>
    <row r="83" spans="1:12" ht="78.75" x14ac:dyDescent="0.25">
      <c r="A83" s="115" t="s">
        <v>325</v>
      </c>
      <c r="B83" s="115" t="s">
        <v>352</v>
      </c>
      <c r="C83" s="115" t="s">
        <v>282</v>
      </c>
      <c r="D83" s="115" t="s">
        <v>373</v>
      </c>
      <c r="E83" s="116">
        <v>297000</v>
      </c>
      <c r="F83" s="115">
        <v>1</v>
      </c>
      <c r="G83" s="116">
        <f t="shared" si="9"/>
        <v>297000</v>
      </c>
      <c r="H83" s="116">
        <v>0</v>
      </c>
      <c r="I83" s="116">
        <v>0</v>
      </c>
      <c r="J83" s="116">
        <v>0</v>
      </c>
      <c r="K83" s="116">
        <v>0</v>
      </c>
      <c r="L83" s="117">
        <f t="shared" si="10"/>
        <v>0</v>
      </c>
    </row>
    <row r="84" spans="1:12" ht="78.75" x14ac:dyDescent="0.25">
      <c r="A84" s="115" t="s">
        <v>325</v>
      </c>
      <c r="B84" s="115" t="s">
        <v>352</v>
      </c>
      <c r="C84" s="115" t="s">
        <v>353</v>
      </c>
      <c r="D84" s="115" t="s">
        <v>373</v>
      </c>
      <c r="E84" s="116">
        <v>297000</v>
      </c>
      <c r="F84" s="115">
        <v>1</v>
      </c>
      <c r="G84" s="116">
        <f t="shared" si="9"/>
        <v>297000</v>
      </c>
      <c r="H84" s="116">
        <v>0</v>
      </c>
      <c r="I84" s="116">
        <v>0</v>
      </c>
      <c r="J84" s="116">
        <v>0</v>
      </c>
      <c r="K84" s="116">
        <v>0</v>
      </c>
      <c r="L84" s="117">
        <v>0</v>
      </c>
    </row>
    <row r="85" spans="1:12" ht="78.75" x14ac:dyDescent="0.25">
      <c r="A85" s="115" t="s">
        <v>325</v>
      </c>
      <c r="B85" s="115" t="s">
        <v>356</v>
      </c>
      <c r="C85" s="115" t="s">
        <v>355</v>
      </c>
      <c r="D85" s="115" t="s">
        <v>374</v>
      </c>
      <c r="E85" s="116">
        <v>297000</v>
      </c>
      <c r="F85" s="115">
        <v>2.5</v>
      </c>
      <c r="G85" s="116">
        <f t="shared" si="9"/>
        <v>742500</v>
      </c>
      <c r="H85" s="116">
        <v>750000</v>
      </c>
      <c r="I85" s="116"/>
      <c r="J85" s="116">
        <v>120000</v>
      </c>
      <c r="K85" s="116">
        <v>100000</v>
      </c>
      <c r="L85" s="117">
        <f t="shared" ref="L85:L93" si="11">I85+J85+K85</f>
        <v>220000</v>
      </c>
    </row>
    <row r="86" spans="1:12" ht="78.75" x14ac:dyDescent="0.25">
      <c r="A86" s="115" t="s">
        <v>325</v>
      </c>
      <c r="B86" s="115" t="s">
        <v>356</v>
      </c>
      <c r="C86" s="115" t="s">
        <v>349</v>
      </c>
      <c r="D86" s="115" t="s">
        <v>374</v>
      </c>
      <c r="E86" s="116">
        <v>297000</v>
      </c>
      <c r="F86" s="115">
        <v>1</v>
      </c>
      <c r="G86" s="116">
        <f t="shared" si="9"/>
        <v>297000</v>
      </c>
      <c r="H86" s="116">
        <v>0</v>
      </c>
      <c r="I86" s="116">
        <v>80000</v>
      </c>
      <c r="J86" s="116">
        <v>0</v>
      </c>
      <c r="K86" s="116"/>
      <c r="L86" s="117">
        <f t="shared" si="11"/>
        <v>80000</v>
      </c>
    </row>
    <row r="87" spans="1:12" ht="78.75" x14ac:dyDescent="0.25">
      <c r="A87" s="115" t="s">
        <v>325</v>
      </c>
      <c r="B87" s="115" t="s">
        <v>356</v>
      </c>
      <c r="C87" s="115" t="s">
        <v>349</v>
      </c>
      <c r="D87" s="115" t="s">
        <v>374</v>
      </c>
      <c r="E87" s="116">
        <v>297000</v>
      </c>
      <c r="F87" s="115">
        <v>1</v>
      </c>
      <c r="G87" s="116">
        <f t="shared" si="9"/>
        <v>297000</v>
      </c>
      <c r="H87" s="116">
        <v>0</v>
      </c>
      <c r="I87" s="116">
        <v>40000</v>
      </c>
      <c r="J87" s="116">
        <v>0</v>
      </c>
      <c r="K87" s="116">
        <v>0</v>
      </c>
      <c r="L87" s="117">
        <f t="shared" si="11"/>
        <v>40000</v>
      </c>
    </row>
    <row r="88" spans="1:12" ht="78.75" x14ac:dyDescent="0.25">
      <c r="A88" s="115" t="s">
        <v>325</v>
      </c>
      <c r="B88" s="115" t="s">
        <v>380</v>
      </c>
      <c r="C88" s="115" t="s">
        <v>371</v>
      </c>
      <c r="D88" s="115" t="s">
        <v>374</v>
      </c>
      <c r="E88" s="116">
        <v>297000</v>
      </c>
      <c r="F88" s="115">
        <v>4.5</v>
      </c>
      <c r="G88" s="116">
        <f t="shared" si="9"/>
        <v>1336500</v>
      </c>
      <c r="H88" s="116">
        <v>750000</v>
      </c>
      <c r="I88" s="116">
        <v>0</v>
      </c>
      <c r="J88" s="116">
        <v>120000</v>
      </c>
      <c r="K88" s="116">
        <v>0</v>
      </c>
      <c r="L88" s="117">
        <f t="shared" si="11"/>
        <v>120000</v>
      </c>
    </row>
    <row r="89" spans="1:12" ht="78.75" x14ac:dyDescent="0.25">
      <c r="A89" s="115" t="s">
        <v>325</v>
      </c>
      <c r="B89" s="115" t="s">
        <v>334</v>
      </c>
      <c r="C89" s="115" t="s">
        <v>372</v>
      </c>
      <c r="D89" s="115" t="s">
        <v>373</v>
      </c>
      <c r="E89" s="116">
        <v>297000</v>
      </c>
      <c r="F89" s="115">
        <v>1.5</v>
      </c>
      <c r="G89" s="116">
        <f t="shared" si="9"/>
        <v>445500</v>
      </c>
      <c r="H89" s="116">
        <v>750000</v>
      </c>
      <c r="I89" s="116">
        <v>0</v>
      </c>
      <c r="J89" s="116">
        <v>80000</v>
      </c>
      <c r="K89" s="116">
        <v>0</v>
      </c>
      <c r="L89" s="117">
        <f t="shared" si="11"/>
        <v>80000</v>
      </c>
    </row>
    <row r="90" spans="1:12" ht="78.75" x14ac:dyDescent="0.25">
      <c r="A90" s="115" t="s">
        <v>325</v>
      </c>
      <c r="B90" s="115" t="s">
        <v>336</v>
      </c>
      <c r="C90" s="115" t="s">
        <v>337</v>
      </c>
      <c r="D90" s="115" t="s">
        <v>373</v>
      </c>
      <c r="E90" s="116">
        <v>297000</v>
      </c>
      <c r="F90" s="115">
        <v>1</v>
      </c>
      <c r="G90" s="116">
        <f t="shared" si="9"/>
        <v>297000</v>
      </c>
      <c r="H90" s="116">
        <v>0</v>
      </c>
      <c r="I90" s="116">
        <v>20000</v>
      </c>
      <c r="J90" s="116">
        <v>0</v>
      </c>
      <c r="K90" s="116">
        <v>0</v>
      </c>
      <c r="L90" s="117">
        <f t="shared" si="11"/>
        <v>20000</v>
      </c>
    </row>
    <row r="91" spans="1:12" ht="78.75" x14ac:dyDescent="0.25">
      <c r="A91" s="115" t="s">
        <v>325</v>
      </c>
      <c r="B91" s="115" t="s">
        <v>336</v>
      </c>
      <c r="C91" s="115" t="s">
        <v>338</v>
      </c>
      <c r="D91" s="115" t="s">
        <v>373</v>
      </c>
      <c r="E91" s="116">
        <v>297000</v>
      </c>
      <c r="F91" s="115">
        <v>1</v>
      </c>
      <c r="G91" s="116">
        <f t="shared" si="9"/>
        <v>297000</v>
      </c>
      <c r="H91" s="116"/>
      <c r="I91" s="116">
        <v>40000</v>
      </c>
      <c r="J91" s="116">
        <v>0</v>
      </c>
      <c r="K91" s="116">
        <v>0</v>
      </c>
      <c r="L91" s="117">
        <f t="shared" si="11"/>
        <v>40000</v>
      </c>
    </row>
    <row r="92" spans="1:12" ht="78.75" x14ac:dyDescent="0.25">
      <c r="A92" s="115" t="s">
        <v>325</v>
      </c>
      <c r="B92" s="115" t="s">
        <v>381</v>
      </c>
      <c r="C92" s="115" t="s">
        <v>369</v>
      </c>
      <c r="D92" s="115" t="s">
        <v>374</v>
      </c>
      <c r="E92" s="116">
        <v>297000</v>
      </c>
      <c r="F92" s="115">
        <v>2.5</v>
      </c>
      <c r="G92" s="116">
        <f t="shared" si="9"/>
        <v>742500</v>
      </c>
      <c r="H92" s="116">
        <v>750000</v>
      </c>
      <c r="I92" s="116">
        <v>0</v>
      </c>
      <c r="J92" s="116">
        <v>120000</v>
      </c>
      <c r="K92" s="116">
        <v>0</v>
      </c>
      <c r="L92" s="117">
        <f t="shared" si="11"/>
        <v>120000</v>
      </c>
    </row>
    <row r="93" spans="1:12" ht="78.75" x14ac:dyDescent="0.25">
      <c r="A93" s="115" t="s">
        <v>325</v>
      </c>
      <c r="B93" s="115" t="s">
        <v>381</v>
      </c>
      <c r="C93" s="115" t="s">
        <v>349</v>
      </c>
      <c r="D93" s="115" t="s">
        <v>374</v>
      </c>
      <c r="E93" s="116">
        <v>297000</v>
      </c>
      <c r="F93" s="115">
        <v>1</v>
      </c>
      <c r="G93" s="116">
        <f t="shared" si="9"/>
        <v>297000</v>
      </c>
      <c r="H93" s="116">
        <v>0</v>
      </c>
      <c r="I93" s="116">
        <v>50000</v>
      </c>
      <c r="J93" s="116"/>
      <c r="K93" s="116"/>
      <c r="L93" s="117">
        <f t="shared" si="11"/>
        <v>50000</v>
      </c>
    </row>
    <row r="94" spans="1:12" ht="78.75" x14ac:dyDescent="0.25">
      <c r="A94" s="115" t="s">
        <v>325</v>
      </c>
      <c r="B94" s="115" t="s">
        <v>341</v>
      </c>
      <c r="C94" s="115" t="s">
        <v>342</v>
      </c>
      <c r="D94" s="115" t="s">
        <v>375</v>
      </c>
      <c r="E94" s="116">
        <v>297000</v>
      </c>
      <c r="F94" s="115">
        <v>0.5</v>
      </c>
      <c r="G94" s="116">
        <f t="shared" si="6"/>
        <v>148500</v>
      </c>
      <c r="H94" s="116">
        <v>0</v>
      </c>
      <c r="I94" s="116">
        <v>0</v>
      </c>
      <c r="J94" s="116">
        <v>0</v>
      </c>
      <c r="K94" s="116">
        <v>0</v>
      </c>
      <c r="L94" s="117">
        <f t="shared" si="7"/>
        <v>0</v>
      </c>
    </row>
    <row r="95" spans="1:12" ht="78.75" x14ac:dyDescent="0.25">
      <c r="A95" s="115" t="s">
        <v>325</v>
      </c>
      <c r="B95" s="115" t="s">
        <v>343</v>
      </c>
      <c r="C95" s="115" t="s">
        <v>345</v>
      </c>
      <c r="D95" s="115" t="s">
        <v>375</v>
      </c>
      <c r="E95" s="116">
        <v>297000</v>
      </c>
      <c r="F95" s="115">
        <v>0.5</v>
      </c>
      <c r="G95" s="116">
        <f t="shared" si="6"/>
        <v>148500</v>
      </c>
      <c r="H95" s="116">
        <v>0</v>
      </c>
      <c r="I95" s="116">
        <v>14000</v>
      </c>
      <c r="J95" s="116">
        <v>0</v>
      </c>
      <c r="K95" s="116">
        <v>0</v>
      </c>
      <c r="L95" s="117">
        <f t="shared" si="7"/>
        <v>14000</v>
      </c>
    </row>
    <row r="96" spans="1:12" ht="78.75" x14ac:dyDescent="0.25">
      <c r="A96" s="115" t="s">
        <v>325</v>
      </c>
      <c r="B96" s="115" t="s">
        <v>343</v>
      </c>
      <c r="C96" s="115" t="s">
        <v>344</v>
      </c>
      <c r="D96" s="115" t="s">
        <v>375</v>
      </c>
      <c r="E96" s="116">
        <v>297000</v>
      </c>
      <c r="F96" s="115">
        <v>0.5</v>
      </c>
      <c r="G96" s="116">
        <f t="shared" si="6"/>
        <v>148500</v>
      </c>
      <c r="H96" s="116">
        <v>0</v>
      </c>
      <c r="I96" s="116">
        <v>14000</v>
      </c>
      <c r="J96" s="116">
        <v>0</v>
      </c>
      <c r="K96" s="116">
        <v>0</v>
      </c>
      <c r="L96" s="117">
        <f t="shared" si="7"/>
        <v>14000</v>
      </c>
    </row>
    <row r="97" spans="1:12" ht="78.75" x14ac:dyDescent="0.25">
      <c r="A97" s="115" t="s">
        <v>325</v>
      </c>
      <c r="B97" s="115" t="s">
        <v>350</v>
      </c>
      <c r="C97" s="115" t="s">
        <v>351</v>
      </c>
      <c r="D97" s="115" t="s">
        <v>373</v>
      </c>
      <c r="E97" s="116">
        <v>297000</v>
      </c>
      <c r="F97" s="115">
        <v>1.5</v>
      </c>
      <c r="G97" s="116">
        <f t="shared" si="6"/>
        <v>445500</v>
      </c>
      <c r="H97" s="116">
        <v>750000</v>
      </c>
      <c r="I97" s="116">
        <v>0</v>
      </c>
      <c r="J97" s="116">
        <v>80000</v>
      </c>
      <c r="K97" s="116">
        <v>140000</v>
      </c>
      <c r="L97" s="117">
        <f t="shared" si="7"/>
        <v>220000</v>
      </c>
    </row>
    <row r="98" spans="1:12" ht="78.75" x14ac:dyDescent="0.25">
      <c r="A98" s="115" t="s">
        <v>325</v>
      </c>
      <c r="B98" s="115" t="s">
        <v>352</v>
      </c>
      <c r="C98" s="115" t="s">
        <v>282</v>
      </c>
      <c r="D98" s="115" t="s">
        <v>373</v>
      </c>
      <c r="E98" s="116">
        <v>297000</v>
      </c>
      <c r="F98" s="115">
        <v>1</v>
      </c>
      <c r="G98" s="116">
        <f t="shared" ref="G98:G103" si="12">E98*F98</f>
        <v>297000</v>
      </c>
      <c r="H98" s="116">
        <v>0</v>
      </c>
      <c r="I98" s="116">
        <v>0</v>
      </c>
      <c r="J98" s="116">
        <v>0</v>
      </c>
      <c r="K98" s="116">
        <v>0</v>
      </c>
      <c r="L98" s="117">
        <f t="shared" ref="L98:L103" si="13">I98+J98+K98</f>
        <v>0</v>
      </c>
    </row>
    <row r="99" spans="1:12" ht="78.75" x14ac:dyDescent="0.25">
      <c r="A99" s="115" t="s">
        <v>325</v>
      </c>
      <c r="B99" s="115" t="s">
        <v>352</v>
      </c>
      <c r="C99" s="115" t="s">
        <v>353</v>
      </c>
      <c r="D99" s="115" t="s">
        <v>373</v>
      </c>
      <c r="E99" s="116">
        <v>297000</v>
      </c>
      <c r="F99" s="115">
        <v>1</v>
      </c>
      <c r="G99" s="116">
        <f t="shared" si="12"/>
        <v>297000</v>
      </c>
      <c r="H99" s="116">
        <v>0</v>
      </c>
      <c r="I99" s="116">
        <v>0</v>
      </c>
      <c r="J99" s="116">
        <v>0</v>
      </c>
      <c r="K99" s="116">
        <v>0</v>
      </c>
      <c r="L99" s="117">
        <f t="shared" si="13"/>
        <v>0</v>
      </c>
    </row>
    <row r="100" spans="1:12" ht="78.75" x14ac:dyDescent="0.25">
      <c r="A100" s="115" t="s">
        <v>325</v>
      </c>
      <c r="B100" s="115" t="s">
        <v>354</v>
      </c>
      <c r="C100" s="115" t="s">
        <v>355</v>
      </c>
      <c r="D100" s="115" t="s">
        <v>374</v>
      </c>
      <c r="E100" s="116">
        <v>297000</v>
      </c>
      <c r="F100" s="115">
        <v>1.5</v>
      </c>
      <c r="G100" s="116">
        <f t="shared" si="12"/>
        <v>445500</v>
      </c>
      <c r="H100" s="116">
        <v>750000</v>
      </c>
      <c r="I100" s="116"/>
      <c r="J100" s="116">
        <v>120000</v>
      </c>
      <c r="K100" s="116">
        <v>100000</v>
      </c>
      <c r="L100" s="117">
        <f t="shared" si="13"/>
        <v>220000</v>
      </c>
    </row>
    <row r="101" spans="1:12" ht="78.75" x14ac:dyDescent="0.25">
      <c r="A101" s="115" t="s">
        <v>325</v>
      </c>
      <c r="B101" s="115" t="s">
        <v>356</v>
      </c>
      <c r="C101" s="115" t="s">
        <v>349</v>
      </c>
      <c r="D101" s="115" t="s">
        <v>374</v>
      </c>
      <c r="E101" s="116">
        <v>297000</v>
      </c>
      <c r="F101" s="115">
        <v>1</v>
      </c>
      <c r="G101" s="116">
        <f t="shared" si="12"/>
        <v>297000</v>
      </c>
      <c r="H101" s="116">
        <v>0</v>
      </c>
      <c r="I101" s="116">
        <v>80000</v>
      </c>
      <c r="J101" s="116">
        <v>0</v>
      </c>
      <c r="K101" s="116"/>
      <c r="L101" s="117">
        <f t="shared" si="13"/>
        <v>80000</v>
      </c>
    </row>
    <row r="102" spans="1:12" ht="78.75" x14ac:dyDescent="0.25">
      <c r="A102" s="115" t="s">
        <v>325</v>
      </c>
      <c r="B102" s="115" t="s">
        <v>356</v>
      </c>
      <c r="C102" s="115" t="s">
        <v>349</v>
      </c>
      <c r="D102" s="115" t="s">
        <v>374</v>
      </c>
      <c r="E102" s="116">
        <v>297000</v>
      </c>
      <c r="F102" s="115">
        <v>1</v>
      </c>
      <c r="G102" s="116">
        <f t="shared" si="12"/>
        <v>297000</v>
      </c>
      <c r="H102" s="116">
        <v>0</v>
      </c>
      <c r="I102" s="116">
        <v>40000</v>
      </c>
      <c r="J102" s="116">
        <v>0</v>
      </c>
      <c r="K102" s="116"/>
      <c r="L102" s="117">
        <f t="shared" si="13"/>
        <v>40000</v>
      </c>
    </row>
    <row r="103" spans="1:12" ht="78.75" x14ac:dyDescent="0.25">
      <c r="A103" s="115" t="s">
        <v>325</v>
      </c>
      <c r="B103" s="115" t="s">
        <v>370</v>
      </c>
      <c r="C103" s="115" t="s">
        <v>371</v>
      </c>
      <c r="D103" s="115" t="s">
        <v>374</v>
      </c>
      <c r="E103" s="116">
        <v>297000</v>
      </c>
      <c r="F103" s="115">
        <v>3.5</v>
      </c>
      <c r="G103" s="116">
        <f t="shared" si="12"/>
        <v>1039500</v>
      </c>
      <c r="H103" s="116">
        <v>750000</v>
      </c>
      <c r="I103" s="116">
        <v>0</v>
      </c>
      <c r="J103" s="116">
        <v>120000</v>
      </c>
      <c r="K103" s="116">
        <v>0</v>
      </c>
      <c r="L103" s="117">
        <f t="shared" si="13"/>
        <v>120000</v>
      </c>
    </row>
    <row r="104" spans="1:12" ht="30.75" customHeight="1" x14ac:dyDescent="0.25">
      <c r="A104" s="121"/>
      <c r="B104" s="121"/>
      <c r="C104" s="121"/>
      <c r="D104" s="121"/>
      <c r="E104" s="121"/>
      <c r="F104" s="121"/>
      <c r="G104" s="119">
        <f t="shared" ref="G104:L104" si="14">SUM(G70:G103)</f>
        <v>15444000</v>
      </c>
      <c r="H104" s="119">
        <f t="shared" si="14"/>
        <v>9000000</v>
      </c>
      <c r="I104" s="119">
        <f t="shared" si="14"/>
        <v>576000</v>
      </c>
      <c r="J104" s="119">
        <f t="shared" si="14"/>
        <v>1240000</v>
      </c>
      <c r="K104" s="119">
        <f t="shared" si="14"/>
        <v>480000</v>
      </c>
      <c r="L104" s="120">
        <f t="shared" si="14"/>
        <v>2296000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5:H14"/>
  <sheetViews>
    <sheetView workbookViewId="0">
      <selection activeCell="E13" sqref="E13"/>
    </sheetView>
  </sheetViews>
  <sheetFormatPr baseColWidth="10" defaultRowHeight="15" x14ac:dyDescent="0.25"/>
  <cols>
    <col min="1" max="6" width="22.42578125" customWidth="1"/>
    <col min="7" max="7" width="14.7109375" customWidth="1"/>
    <col min="8" max="8" width="12" bestFit="1" customWidth="1"/>
  </cols>
  <sheetData>
    <row r="5" spans="1:8" ht="15.75" x14ac:dyDescent="0.25">
      <c r="A5" s="434" t="s">
        <v>276</v>
      </c>
      <c r="B5" s="434"/>
      <c r="C5" s="434"/>
      <c r="D5" s="434"/>
      <c r="E5" s="434"/>
      <c r="F5" s="434"/>
    </row>
    <row r="6" spans="1:8" ht="63" x14ac:dyDescent="0.25">
      <c r="A6" s="434" t="s">
        <v>277</v>
      </c>
      <c r="B6" s="434"/>
      <c r="C6" s="434"/>
      <c r="D6" s="434"/>
      <c r="E6" s="49" t="s">
        <v>278</v>
      </c>
      <c r="F6" s="50" t="s">
        <v>279</v>
      </c>
      <c r="G6" s="129">
        <v>0.12</v>
      </c>
    </row>
    <row r="7" spans="1:8" ht="15.75" x14ac:dyDescent="0.25">
      <c r="A7" s="51" t="s">
        <v>280</v>
      </c>
      <c r="B7" s="52">
        <v>0</v>
      </c>
      <c r="C7" s="51" t="s">
        <v>281</v>
      </c>
      <c r="D7" s="52">
        <v>1317596</v>
      </c>
      <c r="E7" s="52">
        <v>119503</v>
      </c>
      <c r="F7" s="53">
        <f>E7*1.1</f>
        <v>131453.30000000002</v>
      </c>
      <c r="G7" s="130">
        <f>E7*1.12</f>
        <v>133843.36000000002</v>
      </c>
      <c r="H7" s="128"/>
    </row>
    <row r="8" spans="1:8" ht="15.75" x14ac:dyDescent="0.25">
      <c r="A8" s="51" t="s">
        <v>280</v>
      </c>
      <c r="B8" s="52">
        <v>1317597</v>
      </c>
      <c r="C8" s="51" t="s">
        <v>281</v>
      </c>
      <c r="D8" s="52">
        <v>2070476</v>
      </c>
      <c r="E8" s="52">
        <v>163323</v>
      </c>
      <c r="F8" s="53">
        <f t="shared" ref="F8:F14" si="0">E8*1.1</f>
        <v>179655.30000000002</v>
      </c>
      <c r="G8" s="130">
        <f t="shared" ref="G8:G14" si="1">E8*1.12</f>
        <v>182921.76</v>
      </c>
    </row>
    <row r="9" spans="1:8" ht="15.75" x14ac:dyDescent="0.25">
      <c r="A9" s="51" t="s">
        <v>280</v>
      </c>
      <c r="B9" s="52">
        <v>2070477</v>
      </c>
      <c r="C9" s="51" t="s">
        <v>281</v>
      </c>
      <c r="D9" s="52">
        <v>2764819</v>
      </c>
      <c r="E9" s="52">
        <v>198167</v>
      </c>
      <c r="F9" s="53">
        <f t="shared" si="0"/>
        <v>217983.7</v>
      </c>
      <c r="G9" s="130">
        <f t="shared" si="1"/>
        <v>221947.04</v>
      </c>
    </row>
    <row r="10" spans="1:8" ht="15.75" x14ac:dyDescent="0.25">
      <c r="A10" s="51" t="s">
        <v>280</v>
      </c>
      <c r="B10" s="52">
        <v>2764820</v>
      </c>
      <c r="C10" s="51" t="s">
        <v>281</v>
      </c>
      <c r="D10" s="52">
        <v>3506799</v>
      </c>
      <c r="E10" s="52">
        <v>230588</v>
      </c>
      <c r="F10" s="53">
        <f t="shared" si="0"/>
        <v>253646.80000000002</v>
      </c>
      <c r="G10" s="130">
        <f t="shared" si="1"/>
        <v>258258.56000000003</v>
      </c>
    </row>
    <row r="11" spans="1:8" ht="15.75" x14ac:dyDescent="0.25">
      <c r="A11" s="51" t="s">
        <v>280</v>
      </c>
      <c r="B11" s="52">
        <v>3506800</v>
      </c>
      <c r="C11" s="51" t="s">
        <v>281</v>
      </c>
      <c r="D11" s="52">
        <v>4235186</v>
      </c>
      <c r="E11" s="52">
        <v>264787</v>
      </c>
      <c r="F11" s="53">
        <f t="shared" si="0"/>
        <v>291265.7</v>
      </c>
      <c r="G11" s="130">
        <f t="shared" si="1"/>
        <v>296561.44</v>
      </c>
    </row>
    <row r="12" spans="1:8" ht="15.75" x14ac:dyDescent="0.25">
      <c r="A12" s="51" t="s">
        <v>280</v>
      </c>
      <c r="B12" s="52">
        <v>4235187</v>
      </c>
      <c r="C12" s="51" t="s">
        <v>281</v>
      </c>
      <c r="D12" s="52">
        <v>6387301</v>
      </c>
      <c r="E12" s="52">
        <v>298863</v>
      </c>
      <c r="F12" s="53">
        <f t="shared" si="0"/>
        <v>328749.30000000005</v>
      </c>
      <c r="G12" s="130">
        <f t="shared" si="1"/>
        <v>334726.56000000006</v>
      </c>
    </row>
    <row r="13" spans="1:8" ht="15.75" x14ac:dyDescent="0.25">
      <c r="A13" s="51" t="s">
        <v>280</v>
      </c>
      <c r="B13" s="52">
        <v>6387302</v>
      </c>
      <c r="C13" s="51" t="s">
        <v>281</v>
      </c>
      <c r="D13" s="52">
        <v>8927247</v>
      </c>
      <c r="E13" s="52">
        <v>363014</v>
      </c>
      <c r="F13" s="53">
        <f t="shared" si="0"/>
        <v>399315.4</v>
      </c>
      <c r="G13" s="130">
        <f t="shared" si="1"/>
        <v>406575.68000000005</v>
      </c>
    </row>
    <row r="14" spans="1:8" ht="15.75" x14ac:dyDescent="0.25">
      <c r="A14" s="51" t="s">
        <v>280</v>
      </c>
      <c r="B14" s="52">
        <v>8927248</v>
      </c>
      <c r="C14" s="51" t="s">
        <v>281</v>
      </c>
      <c r="D14" s="52">
        <v>10599866</v>
      </c>
      <c r="E14" s="52">
        <v>489708</v>
      </c>
      <c r="F14" s="53">
        <f t="shared" si="0"/>
        <v>538678.80000000005</v>
      </c>
      <c r="G14" s="130">
        <f t="shared" si="1"/>
        <v>548472.96000000008</v>
      </c>
    </row>
  </sheetData>
  <mergeCells count="2">
    <mergeCell ref="A5:F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ADQUISICIONES  </vt:lpstr>
      <vt:lpstr>Hoja1</vt:lpstr>
      <vt:lpstr>COMISIONES</vt:lpstr>
      <vt:lpstr>viàticos</vt:lpstr>
    </vt:vector>
  </TitlesOfParts>
  <Company>Configuración INCI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Gomez</dc:creator>
  <cp:lastModifiedBy>Martha  Gomez</cp:lastModifiedBy>
  <cp:lastPrinted>2023-11-17T15:28:38Z</cp:lastPrinted>
  <dcterms:created xsi:type="dcterms:W3CDTF">2022-07-29T14:17:19Z</dcterms:created>
  <dcterms:modified xsi:type="dcterms:W3CDTF">2026-06-11T21:44:10Z</dcterms:modified>
</cp:coreProperties>
</file>