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hidePivotFieldList="1" defaultThemeVersion="124226"/>
  <mc:AlternateContent xmlns:mc="http://schemas.openxmlformats.org/markup-compatibility/2006">
    <mc:Choice Requires="x15">
      <x15ac:absPath xmlns:x15ac="http://schemas.microsoft.com/office/spreadsheetml/2010/11/ac" url="https://institutonacionalparaciegos-my.sharepoint.com/personal/ccordoba_inci_gov_co/Documents/Documentos/Riesgos/2026/Gestión/"/>
    </mc:Choice>
  </mc:AlternateContent>
  <xr:revisionPtr revIDLastSave="0" documentId="14_{CBED87EE-10B7-4ECB-B40C-74932B6095A9}" xr6:coauthVersionLast="36" xr6:coauthVersionMax="36" xr10:uidLastSave="{00000000-0000-0000-0000-000000000000}"/>
  <bookViews>
    <workbookView xWindow="-120" yWindow="-120" windowWidth="15510" windowHeight="6015" tabRatio="730" firstSheet="4" activeTab="7" xr2:uid="{00000000-000D-0000-FFFF-FFFF00000000}"/>
  </bookViews>
  <sheets>
    <sheet name="Intructivo" sheetId="20" state="hidden" r:id="rId1"/>
    <sheet name="Tabla probabilidad" sheetId="12" state="hidden" r:id="rId2"/>
    <sheet name="Tabla Impacto" sheetId="13" state="hidden" r:id="rId3"/>
    <sheet name="Tabla Valoración controles" sheetId="15" state="hidden" r:id="rId4"/>
    <sheet name="Direccionamiento Estrategico" sheetId="24" r:id="rId5"/>
    <sheet name="Evaluación y mejoramiento" sheetId="25" r:id="rId6"/>
    <sheet name="Comunicaciones " sheetId="23" r:id="rId7"/>
    <sheet name="Asistencia tecnica" sheetId="21" r:id="rId8"/>
    <sheet name="Centro Cultural" sheetId="22" r:id="rId9"/>
    <sheet name="Unidades Productivas" sheetId="34" r:id="rId10"/>
    <sheet name="Producción Radial y Audiovisual" sheetId="32" r:id="rId11"/>
    <sheet name="Gestion Documental" sheetId="28" r:id="rId12"/>
    <sheet name="Servicio al Ciudadano" sheetId="33" r:id="rId13"/>
    <sheet name="Informatica y Tecnologia" sheetId="31" r:id="rId14"/>
    <sheet name="Gestion Contractual" sheetId="27" r:id="rId15"/>
    <sheet name="Gestion Juridica" sheetId="36" r:id="rId16"/>
    <sheet name="Gestion Humana" sheetId="29" r:id="rId17"/>
    <sheet name="Financiero" sheetId="26" r:id="rId18"/>
    <sheet name="Administrativo " sheetId="1" r:id="rId19"/>
    <sheet name="Para revisar" sheetId="37" state="hidden" r:id="rId20"/>
    <sheet name="Matriz Calor Inherente" sheetId="18" r:id="rId21"/>
    <sheet name="Matriz Calor Residual" sheetId="19" r:id="rId22"/>
    <sheet name="Opciones Tratamiento" sheetId="16" state="hidden" r:id="rId23"/>
    <sheet name="Hoja1" sheetId="11" state="hidden" r:id="rId24"/>
  </sheets>
  <calcPr calcId="191029"/>
  <pivotCaches>
    <pivotCache cacheId="0" r:id="rId25"/>
  </pivotCaches>
</workbook>
</file>

<file path=xl/calcChain.xml><?xml version="1.0" encoding="utf-8"?>
<calcChain xmlns="http://schemas.openxmlformats.org/spreadsheetml/2006/main">
  <c r="AE11" i="24" l="1"/>
  <c r="AE12" i="24"/>
  <c r="AE10" i="24"/>
  <c r="Q10" i="24"/>
  <c r="T10" i="24"/>
  <c r="X10" i="24"/>
  <c r="Z10" i="24" s="1"/>
  <c r="G10" i="24"/>
  <c r="H10" i="24" s="1"/>
  <c r="N10" i="24" s="1"/>
  <c r="J10" i="24"/>
  <c r="K10" i="24"/>
  <c r="M10" i="24"/>
  <c r="AB10" i="24" s="1"/>
  <c r="AA10" i="24" s="1"/>
  <c r="AE9" i="27"/>
  <c r="AE10" i="27"/>
  <c r="AE11" i="27"/>
  <c r="AE8" i="27"/>
  <c r="Q9" i="27"/>
  <c r="T9" i="27"/>
  <c r="AH9" i="27"/>
  <c r="AE14" i="28"/>
  <c r="AE12" i="28"/>
  <c r="AE11" i="28"/>
  <c r="Y10" i="24" l="1"/>
  <c r="AC10" i="24"/>
  <c r="AH11" i="1"/>
  <c r="AH12" i="1"/>
  <c r="AH10" i="1"/>
  <c r="AH9" i="26"/>
  <c r="AH10" i="26"/>
  <c r="AH8" i="26"/>
  <c r="AH9" i="29"/>
  <c r="AH10" i="29"/>
  <c r="AH11" i="29"/>
  <c r="AH8" i="29"/>
  <c r="AE11" i="29"/>
  <c r="AI9" i="36"/>
  <c r="AI8" i="36"/>
  <c r="AF9" i="36"/>
  <c r="AF8" i="36"/>
  <c r="AH10" i="27"/>
  <c r="AH11" i="27"/>
  <c r="AH8" i="27"/>
  <c r="AH9" i="31"/>
  <c r="AH10" i="31"/>
  <c r="AH11" i="31"/>
  <c r="AH8" i="31"/>
  <c r="AH11" i="33"/>
  <c r="AH12" i="33"/>
  <c r="AH13" i="33"/>
  <c r="AH10" i="33"/>
  <c r="AE13" i="28"/>
  <c r="AE10" i="28"/>
  <c r="AH11" i="28"/>
  <c r="AH12" i="28"/>
  <c r="AH13" i="28"/>
  <c r="AH14" i="28"/>
  <c r="AH10" i="28"/>
  <c r="AH11" i="32"/>
  <c r="AH10" i="32"/>
  <c r="AH11" i="34"/>
  <c r="AH12" i="34"/>
  <c r="AH13" i="34"/>
  <c r="AH10" i="34"/>
  <c r="AH9" i="22"/>
  <c r="AH10" i="22"/>
  <c r="AH8" i="22"/>
  <c r="AH11" i="21"/>
  <c r="AH12" i="21"/>
  <c r="AH10" i="21"/>
  <c r="AH11" i="23"/>
  <c r="AH12" i="23"/>
  <c r="AH10" i="23"/>
  <c r="AI11" i="25"/>
  <c r="AI12" i="25"/>
  <c r="AI10" i="25"/>
  <c r="AH10" i="24"/>
  <c r="AH11" i="24"/>
  <c r="AH12" i="24"/>
  <c r="AE11" i="32"/>
  <c r="AE10" i="32"/>
  <c r="AE13" i="34"/>
  <c r="AE12" i="34"/>
  <c r="AE11" i="34"/>
  <c r="AE10" i="34"/>
  <c r="AE10" i="22" l="1"/>
  <c r="AE9" i="22"/>
  <c r="AE8" i="22"/>
  <c r="AE11" i="23"/>
  <c r="AE12" i="23"/>
  <c r="AE10" i="23"/>
  <c r="R11" i="25"/>
  <c r="AC11" i="25" s="1"/>
  <c r="AB11" i="25" s="1"/>
  <c r="T11" i="29"/>
  <c r="Q11" i="29"/>
  <c r="M11" i="29"/>
  <c r="H11" i="29"/>
  <c r="I11" i="29" s="1"/>
  <c r="X11" i="29" l="1"/>
  <c r="Y11" i="29" s="1"/>
  <c r="AB11" i="29"/>
  <c r="AA11" i="29" s="1"/>
  <c r="N11" i="29"/>
  <c r="T11" i="27"/>
  <c r="Q11" i="27"/>
  <c r="T10" i="27"/>
  <c r="Q10" i="27"/>
  <c r="G8" i="22"/>
  <c r="Z11" i="29" l="1"/>
  <c r="AC11" i="29"/>
  <c r="T14" i="28"/>
  <c r="Q14" i="28"/>
  <c r="T13" i="28"/>
  <c r="Q13" i="28"/>
  <c r="M10" i="27" l="1"/>
  <c r="AB10" i="27" s="1"/>
  <c r="H10" i="27"/>
  <c r="N10" i="27" s="1"/>
  <c r="AA10" i="27" l="1"/>
  <c r="AB11" i="27"/>
  <c r="AA11" i="27" s="1"/>
  <c r="I10" i="27"/>
  <c r="X10" i="27" s="1"/>
  <c r="Q12" i="23"/>
  <c r="T12" i="23"/>
  <c r="Y10" i="27" l="1"/>
  <c r="AC10" i="27" s="1"/>
  <c r="Z10" i="27"/>
  <c r="X11" i="27" s="1"/>
  <c r="Z11" i="27" l="1"/>
  <c r="Y11" i="27"/>
  <c r="AC11" i="27" s="1"/>
  <c r="X10" i="29" l="1"/>
  <c r="Z10" i="29" s="1"/>
  <c r="T10" i="29"/>
  <c r="AB10" i="29" s="1"/>
  <c r="AA10" i="29" s="1"/>
  <c r="Y10" i="29" l="1"/>
  <c r="AC10" i="29" s="1"/>
  <c r="T12" i="1"/>
  <c r="E12" i="1"/>
  <c r="M12" i="1"/>
  <c r="H12" i="1"/>
  <c r="I12" i="1" s="1"/>
  <c r="U12" i="25"/>
  <c r="R12" i="25"/>
  <c r="AC12" i="25" s="1"/>
  <c r="AB12" i="25" s="1"/>
  <c r="G8" i="26"/>
  <c r="N12" i="1" l="1"/>
  <c r="Q10" i="31"/>
  <c r="U11" i="25"/>
  <c r="M10" i="25"/>
  <c r="T11" i="1"/>
  <c r="Q11" i="1"/>
  <c r="Q10" i="26"/>
  <c r="Q9" i="26"/>
  <c r="Q8" i="26"/>
  <c r="Q9" i="29"/>
  <c r="Q8" i="29"/>
  <c r="R9" i="36"/>
  <c r="R8" i="36"/>
  <c r="Q8" i="27"/>
  <c r="Q11" i="31"/>
  <c r="Q9" i="31"/>
  <c r="Q8" i="31"/>
  <c r="Q13" i="33"/>
  <c r="Q10" i="33"/>
  <c r="Q12" i="28"/>
  <c r="Q11" i="28"/>
  <c r="Q10" i="28"/>
  <c r="Q11" i="32"/>
  <c r="Q10" i="32"/>
  <c r="Q13" i="34"/>
  <c r="Q12" i="34"/>
  <c r="Q11" i="34"/>
  <c r="Q10" i="34"/>
  <c r="Q10" i="22"/>
  <c r="Q9" i="22"/>
  <c r="Q8" i="22"/>
  <c r="Q12" i="21"/>
  <c r="Q11" i="21"/>
  <c r="Q10" i="21"/>
  <c r="Q11" i="23"/>
  <c r="Q10" i="23"/>
  <c r="Q12" i="24"/>
  <c r="Q11" i="24"/>
  <c r="M10" i="1" l="1"/>
  <c r="AB12" i="1" s="1"/>
  <c r="AA12" i="1" s="1"/>
  <c r="T9" i="26"/>
  <c r="M8" i="26"/>
  <c r="M9" i="29"/>
  <c r="M8" i="29"/>
  <c r="AB8" i="29" s="1"/>
  <c r="T10" i="22" l="1"/>
  <c r="T9" i="22"/>
  <c r="T8" i="22"/>
  <c r="M8" i="22"/>
  <c r="H8" i="22"/>
  <c r="N8" i="22" l="1"/>
  <c r="I8" i="22"/>
  <c r="X8" i="22" s="1"/>
  <c r="AB8" i="22"/>
  <c r="AA8" i="22" s="1"/>
  <c r="X9" i="22" l="1"/>
  <c r="Y9" i="22" s="1"/>
  <c r="AB9" i="22"/>
  <c r="AA9" i="22" s="1"/>
  <c r="Y8" i="22"/>
  <c r="AC8" i="22" s="1"/>
  <c r="Z8" i="22"/>
  <c r="AB10" i="22"/>
  <c r="AA10" i="22" s="1"/>
  <c r="AC9" i="22" l="1"/>
  <c r="Z9" i="22"/>
  <c r="X10" i="22" s="1"/>
  <c r="Y10" i="22" s="1"/>
  <c r="AC10" i="22" s="1"/>
  <c r="Z10" i="22" l="1"/>
  <c r="M8" i="36" l="1"/>
  <c r="AC8" i="36" s="1"/>
  <c r="AC9" i="36" s="1"/>
  <c r="M8" i="27"/>
  <c r="M8" i="31"/>
  <c r="M10" i="33"/>
  <c r="M11" i="33"/>
  <c r="M10" i="28"/>
  <c r="M10" i="32" l="1"/>
  <c r="T12" i="21" l="1"/>
  <c r="M12" i="21"/>
  <c r="H12" i="21"/>
  <c r="M10" i="23"/>
  <c r="E5" i="13"/>
  <c r="E6" i="13"/>
  <c r="E7" i="13"/>
  <c r="J10" i="21" s="1"/>
  <c r="E8" i="13"/>
  <c r="E4" i="13"/>
  <c r="K10" i="21" l="1"/>
  <c r="J11" i="29"/>
  <c r="K11" i="29"/>
  <c r="J8" i="27"/>
  <c r="K10" i="27"/>
  <c r="J10" i="27"/>
  <c r="K10" i="33"/>
  <c r="J11" i="33"/>
  <c r="J10" i="33"/>
  <c r="K11" i="33"/>
  <c r="J10" i="25"/>
  <c r="K10" i="25"/>
  <c r="K10" i="32"/>
  <c r="J10" i="32"/>
  <c r="AB11" i="24"/>
  <c r="AA11" i="24" s="1"/>
  <c r="J8" i="29"/>
  <c r="K8" i="29"/>
  <c r="K8" i="27"/>
  <c r="J9" i="29"/>
  <c r="K9" i="29"/>
  <c r="K8" i="22"/>
  <c r="J8" i="22"/>
  <c r="N12" i="21"/>
  <c r="I12" i="21"/>
  <c r="X12" i="21" s="1"/>
  <c r="AB12" i="21"/>
  <c r="AA12" i="21" s="1"/>
  <c r="Z12" i="21" l="1"/>
  <c r="Y12" i="21"/>
  <c r="AC12" i="21" s="1"/>
  <c r="F5" i="13" l="1"/>
  <c r="F6" i="13"/>
  <c r="F7" i="13"/>
  <c r="F8" i="13"/>
  <c r="F4" i="13"/>
  <c r="K12" i="1" l="1"/>
  <c r="J12" i="1"/>
  <c r="J10" i="23"/>
  <c r="K10" i="23"/>
  <c r="J10" i="1"/>
  <c r="K10" i="1"/>
  <c r="K8" i="31"/>
  <c r="J8" i="31"/>
  <c r="K13" i="34"/>
  <c r="J13" i="34"/>
  <c r="K10" i="34"/>
  <c r="J10" i="34"/>
  <c r="K12" i="21"/>
  <c r="J12" i="21"/>
  <c r="K8" i="26"/>
  <c r="J8" i="26"/>
  <c r="K8" i="36"/>
  <c r="J8" i="36"/>
  <c r="J10" i="28"/>
  <c r="K10" i="28"/>
  <c r="U9" i="36"/>
  <c r="U8" i="36"/>
  <c r="H8" i="36"/>
  <c r="I8" i="36" s="1"/>
  <c r="Y8" i="36" l="1"/>
  <c r="T13" i="34"/>
  <c r="G13" i="34"/>
  <c r="H13" i="34" s="1"/>
  <c r="T12" i="34"/>
  <c r="T11" i="34"/>
  <c r="T10" i="34"/>
  <c r="H10" i="34"/>
  <c r="AA8" i="36" l="1"/>
  <c r="Y9" i="36" s="1"/>
  <c r="Z8" i="36"/>
  <c r="I13" i="34"/>
  <c r="X13" i="34" s="1"/>
  <c r="Z13" i="34" s="1"/>
  <c r="I10" i="34"/>
  <c r="X10" i="34" s="1"/>
  <c r="Z9" i="36" l="1"/>
  <c r="AA9" i="36"/>
  <c r="Y13" i="34"/>
  <c r="Z10" i="34"/>
  <c r="X11" i="34" s="1"/>
  <c r="Y10" i="34"/>
  <c r="Y11" i="34" l="1"/>
  <c r="Z11" i="34"/>
  <c r="X12" i="34" s="1"/>
  <c r="Z12" i="34" l="1"/>
  <c r="Y12" i="34"/>
  <c r="M10" i="34" l="1"/>
  <c r="N10" i="34"/>
  <c r="M13" i="34"/>
  <c r="AB13" i="34" s="1"/>
  <c r="AA13" i="34" s="1"/>
  <c r="AC13" i="34" s="1"/>
  <c r="N13" i="34"/>
  <c r="AB10" i="34" l="1"/>
  <c r="AA10" i="34" s="1"/>
  <c r="AC10" i="34" s="1"/>
  <c r="AB11" i="34"/>
  <c r="AB12" i="34" s="1"/>
  <c r="AA11" i="34" l="1"/>
  <c r="AC11" i="34" s="1"/>
  <c r="AA12" i="34"/>
  <c r="AC12" i="34" s="1"/>
  <c r="T13" i="33" l="1"/>
  <c r="T12" i="33"/>
  <c r="T11" i="33"/>
  <c r="G11" i="33"/>
  <c r="H11" i="33" s="1"/>
  <c r="T10" i="33"/>
  <c r="H10" i="33"/>
  <c r="AB10" i="33" l="1"/>
  <c r="AA10" i="33" s="1"/>
  <c r="AB11" i="33"/>
  <c r="AA11" i="33" s="1"/>
  <c r="N10" i="33"/>
  <c r="N11" i="33"/>
  <c r="I11" i="33"/>
  <c r="X11" i="33" s="1"/>
  <c r="I10" i="33"/>
  <c r="X10" i="33" s="1"/>
  <c r="AB12" i="33"/>
  <c r="AA12" i="33" s="1"/>
  <c r="Z10" i="33" l="1"/>
  <c r="Y10" i="33"/>
  <c r="AC10" i="33" s="1"/>
  <c r="AB13" i="33"/>
  <c r="AA13" i="33" s="1"/>
  <c r="Z11" i="33"/>
  <c r="X12" i="33" s="1"/>
  <c r="Y11" i="33"/>
  <c r="AC11" i="33" s="1"/>
  <c r="Y12" i="33" l="1"/>
  <c r="AC12" i="33" s="1"/>
  <c r="Z12" i="33"/>
  <c r="X13" i="33" s="1"/>
  <c r="Z13" i="33" l="1"/>
  <c r="Y13" i="33"/>
  <c r="AC13" i="33" s="1"/>
  <c r="T11" i="32" l="1"/>
  <c r="T10" i="32"/>
  <c r="H10" i="32"/>
  <c r="I10" i="32" s="1"/>
  <c r="X10" i="32" l="1"/>
  <c r="Z10" i="32" l="1"/>
  <c r="X11" i="32" s="1"/>
  <c r="Y10" i="32"/>
  <c r="Z11" i="32" l="1"/>
  <c r="Y11" i="32"/>
  <c r="AB10" i="32" l="1"/>
  <c r="N10" i="32"/>
  <c r="AA10" i="32" l="1"/>
  <c r="AC10" i="32" s="1"/>
  <c r="AB11" i="32"/>
  <c r="AA11" i="32" s="1"/>
  <c r="AC11" i="32" s="1"/>
  <c r="T11" i="31" l="1"/>
  <c r="T10" i="31"/>
  <c r="T9" i="31"/>
  <c r="T8" i="31"/>
  <c r="G8" i="31"/>
  <c r="H8" i="31" s="1"/>
  <c r="AB8" i="31" l="1"/>
  <c r="N8" i="31"/>
  <c r="I8" i="31"/>
  <c r="X8" i="31" s="1"/>
  <c r="AA8" i="31" l="1"/>
  <c r="AB9" i="31"/>
  <c r="AA9" i="31" s="1"/>
  <c r="Z8" i="31"/>
  <c r="X9" i="31" s="1"/>
  <c r="Z9" i="31" s="1"/>
  <c r="X10" i="31" s="1"/>
  <c r="Y8" i="31"/>
  <c r="AC8" i="31" l="1"/>
  <c r="AB10" i="31"/>
  <c r="AA10" i="31" s="1"/>
  <c r="Y9" i="31"/>
  <c r="AC9" i="31" s="1"/>
  <c r="AB11" i="31" l="1"/>
  <c r="AA11" i="31" s="1"/>
  <c r="Y10" i="31"/>
  <c r="AC10" i="31" s="1"/>
  <c r="Z10" i="31"/>
  <c r="X11" i="31" s="1"/>
  <c r="Z11" i="31" l="1"/>
  <c r="Y11" i="31"/>
  <c r="AC11" i="31" s="1"/>
  <c r="T9" i="29" l="1"/>
  <c r="AB9" i="29" s="1"/>
  <c r="AA9" i="29" s="1"/>
  <c r="H9" i="29"/>
  <c r="N9" i="29" s="1"/>
  <c r="T8" i="29"/>
  <c r="H8" i="29"/>
  <c r="N8" i="29" s="1"/>
  <c r="AA8" i="29" l="1"/>
  <c r="I8" i="29"/>
  <c r="X8" i="29" s="1"/>
  <c r="I9" i="29"/>
  <c r="X9" i="29" s="1"/>
  <c r="Y9" i="29" l="1"/>
  <c r="AC9" i="29" s="1"/>
  <c r="Z9" i="29"/>
  <c r="Z8" i="29"/>
  <c r="Y8" i="29"/>
  <c r="AC8" i="29" s="1"/>
  <c r="T12" i="28" l="1"/>
  <c r="T11" i="28"/>
  <c r="T10" i="28"/>
  <c r="G10" i="28"/>
  <c r="H10" i="28" s="1"/>
  <c r="I10" i="28" l="1"/>
  <c r="X10" i="28" s="1"/>
  <c r="Y10" i="28" l="1"/>
  <c r="Z10" i="28"/>
  <c r="X11" i="28" s="1"/>
  <c r="Z11" i="28" l="1"/>
  <c r="X12" i="28" s="1"/>
  <c r="Y11" i="28"/>
  <c r="Z12" i="28" l="1"/>
  <c r="X13" i="28" s="1"/>
  <c r="Y12" i="28"/>
  <c r="Z13" i="28" l="1"/>
  <c r="X14" i="28" s="1"/>
  <c r="Y13" i="28"/>
  <c r="AB10" i="28"/>
  <c r="N10" i="28"/>
  <c r="Z14" i="28" l="1"/>
  <c r="Y14" i="28"/>
  <c r="AA10" i="28"/>
  <c r="AC10" i="28" s="1"/>
  <c r="AB11" i="28"/>
  <c r="AA11" i="28" l="1"/>
  <c r="AC11" i="28" s="1"/>
  <c r="AB12" i="28"/>
  <c r="AA12" i="28" l="1"/>
  <c r="AC12" i="28" s="1"/>
  <c r="AB13" i="28"/>
  <c r="H8" i="27"/>
  <c r="I8" i="27" s="1"/>
  <c r="T8" i="27"/>
  <c r="AA13" i="28" l="1"/>
  <c r="AC13" i="28" s="1"/>
  <c r="AB14" i="28"/>
  <c r="AA14" i="28" s="1"/>
  <c r="AC14" i="28" s="1"/>
  <c r="X8" i="27"/>
  <c r="Y8" i="27" s="1"/>
  <c r="Z8" i="27" l="1"/>
  <c r="X9" i="27" s="1"/>
  <c r="Y9" i="27" l="1"/>
  <c r="Z9" i="27"/>
  <c r="AB8" i="27"/>
  <c r="AB9" i="27" s="1"/>
  <c r="AA9" i="27" s="1"/>
  <c r="N8" i="27"/>
  <c r="AC9" i="27" l="1"/>
  <c r="AA8" i="27"/>
  <c r="AC8" i="27" s="1"/>
  <c r="T10" i="26" l="1"/>
  <c r="T8" i="26"/>
  <c r="H8" i="26"/>
  <c r="I8" i="26" l="1"/>
  <c r="X8" i="26" s="1"/>
  <c r="Z8" i="26" l="1"/>
  <c r="Y8" i="26"/>
  <c r="X10" i="26" l="1"/>
  <c r="Z10" i="26" s="1"/>
  <c r="X9" i="26"/>
  <c r="AB8" i="26"/>
  <c r="N8" i="26"/>
  <c r="Y10" i="26" l="1"/>
  <c r="Y9" i="26"/>
  <c r="Z9" i="26"/>
  <c r="AB9" i="26"/>
  <c r="AA9" i="26" s="1"/>
  <c r="AB10" i="26"/>
  <c r="AA10" i="26" s="1"/>
  <c r="AA8" i="26"/>
  <c r="AC8" i="26" s="1"/>
  <c r="AC10" i="26" l="1"/>
  <c r="AC9" i="26"/>
  <c r="U10" i="25"/>
  <c r="R10" i="25"/>
  <c r="AC10" i="25" s="1"/>
  <c r="H10" i="25"/>
  <c r="N10" i="25" s="1"/>
  <c r="AC13" i="25" l="1"/>
  <c r="AB10" i="25"/>
  <c r="I10" i="25"/>
  <c r="Y10" i="25" s="1"/>
  <c r="AB13" i="25" l="1"/>
  <c r="AC14" i="25"/>
  <c r="AA10" i="25"/>
  <c r="Y13" i="25" s="1"/>
  <c r="Z10" i="25"/>
  <c r="AD10" i="25" s="1"/>
  <c r="AB14" i="25" l="1"/>
  <c r="Z13" i="25"/>
  <c r="AD13" i="25" s="1"/>
  <c r="AA13" i="25"/>
  <c r="Y14" i="25" s="1"/>
  <c r="Z14" i="25" l="1"/>
  <c r="AD14" i="25" s="1"/>
  <c r="AA14" i="25"/>
  <c r="Y11" i="25" s="1"/>
  <c r="AA11" i="25" s="1"/>
  <c r="T12" i="24"/>
  <c r="AB12" i="24" s="1"/>
  <c r="T11" i="24"/>
  <c r="X11" i="24" s="1"/>
  <c r="Y11" i="24" s="1"/>
  <c r="AA12" i="24" l="1"/>
  <c r="Z11" i="25"/>
  <c r="AD11" i="25" s="1"/>
  <c r="Y12" i="25"/>
  <c r="AA12" i="25" s="1"/>
  <c r="Z11" i="24"/>
  <c r="AC11" i="24"/>
  <c r="H10" i="23"/>
  <c r="T10" i="23"/>
  <c r="T11" i="23"/>
  <c r="X12" i="24" l="1"/>
  <c r="Z12" i="24" s="1"/>
  <c r="Z12" i="25"/>
  <c r="AD12" i="25" s="1"/>
  <c r="I10" i="23"/>
  <c r="N10" i="23"/>
  <c r="X10" i="23"/>
  <c r="AB10" i="23"/>
  <c r="AA10" i="23" s="1"/>
  <c r="Y12" i="24" l="1"/>
  <c r="AC12" i="24" s="1"/>
  <c r="Y10" i="23"/>
  <c r="AC10" i="23" s="1"/>
  <c r="Z10" i="23"/>
  <c r="X11" i="23" s="1"/>
  <c r="AB11" i="23"/>
  <c r="AA11" i="23" l="1"/>
  <c r="AB12" i="23"/>
  <c r="AA12" i="23" s="1"/>
  <c r="Z11" i="23"/>
  <c r="X12" i="23" s="1"/>
  <c r="Y11" i="23"/>
  <c r="AC11" i="23" l="1"/>
  <c r="Y12" i="23"/>
  <c r="AC12" i="23" s="1"/>
  <c r="Z12" i="23"/>
  <c r="H10" i="21"/>
  <c r="T10" i="21"/>
  <c r="T11" i="21"/>
  <c r="I10" i="21" l="1"/>
  <c r="X10" i="21" s="1"/>
  <c r="Y10" i="21" l="1"/>
  <c r="Z10" i="21"/>
  <c r="X11" i="21" s="1"/>
  <c r="Z11" i="21" l="1"/>
  <c r="Y11" i="21"/>
  <c r="M10" i="21" l="1"/>
  <c r="N10" i="21"/>
  <c r="AB10" i="21" l="1"/>
  <c r="AA10" i="21" s="1"/>
  <c r="AC10" i="21" s="1"/>
  <c r="AB11" i="21"/>
  <c r="AA11" i="21" s="1"/>
  <c r="AC11" i="21" s="1"/>
  <c r="H10" i="1"/>
  <c r="T10" i="1"/>
  <c r="Q10" i="1"/>
  <c r="I10" i="1" l="1"/>
  <c r="N10" i="1"/>
  <c r="F221" i="13"/>
  <c r="F211" i="13"/>
  <c r="F212" i="13"/>
  <c r="F213" i="13"/>
  <c r="F214" i="13"/>
  <c r="F215" i="13"/>
  <c r="F216" i="13"/>
  <c r="F217" i="13"/>
  <c r="F218" i="13"/>
  <c r="F219" i="13"/>
  <c r="F220" i="13"/>
  <c r="F210" i="13"/>
  <c r="B221" i="13" a="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X10" i="1" l="1"/>
  <c r="Y10" i="1" s="1"/>
  <c r="Z10" i="1" l="1"/>
  <c r="X11" i="1" s="1"/>
  <c r="Z11" i="1" l="1"/>
  <c r="X12" i="1" s="1"/>
  <c r="Y11" i="1"/>
  <c r="J40" i="19"/>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J47" i="19"/>
  <c r="V27" i="19"/>
  <c r="AH7" i="19"/>
  <c r="P47" i="19"/>
  <c r="AB27" i="19"/>
  <c r="J17" i="19"/>
  <c r="V47" i="19"/>
  <c r="J37" i="19"/>
  <c r="AB37" i="19"/>
  <c r="J27" i="19"/>
  <c r="V7" i="19"/>
  <c r="AH37" i="19"/>
  <c r="P27" i="19"/>
  <c r="AB7" i="19"/>
  <c r="P17" i="19"/>
  <c r="V17" i="19"/>
  <c r="AH47" i="19"/>
  <c r="P37" i="19"/>
  <c r="AB17" i="19"/>
  <c r="J7" i="19"/>
  <c r="V37" i="19"/>
  <c r="AH17" i="19"/>
  <c r="P7" i="19"/>
  <c r="AH27" i="19"/>
  <c r="AB47"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Z12" i="1" l="1"/>
  <c r="Y12" i="1"/>
  <c r="AC12" i="1" s="1"/>
  <c r="K45" i="19"/>
  <c r="AK42" i="19"/>
  <c r="W37" i="19"/>
  <c r="AI7" i="19"/>
  <c r="W17" i="19"/>
  <c r="W27" i="19"/>
  <c r="Q47" i="19"/>
  <c r="W7" i="19"/>
  <c r="AI17" i="19"/>
  <c r="K47" i="19"/>
  <c r="AI47" i="19"/>
  <c r="Q27" i="19"/>
  <c r="AC27" i="19"/>
  <c r="AC47" i="19"/>
  <c r="AC37" i="19"/>
  <c r="AI37" i="19"/>
  <c r="AC17" i="19"/>
  <c r="K37" i="19"/>
  <c r="AC7" i="19"/>
  <c r="W47" i="19"/>
  <c r="Q37" i="19"/>
  <c r="AI27" i="19"/>
  <c r="Q7" i="19"/>
  <c r="K27" i="19"/>
  <c r="K17" i="19"/>
  <c r="K7" i="19"/>
  <c r="Q17" i="19"/>
  <c r="K35" i="19"/>
  <c r="AC25" i="19"/>
  <c r="AI45" i="19"/>
  <c r="W45" i="19"/>
  <c r="Q35" i="19"/>
  <c r="AC15" i="19"/>
  <c r="Q15" i="19"/>
  <c r="AC35" i="19"/>
  <c r="Q55" i="19"/>
  <c r="AI25" i="19"/>
  <c r="W15" i="19"/>
  <c r="K15" i="19"/>
  <c r="W25" i="19"/>
  <c r="Q25" i="19"/>
  <c r="W55" i="19"/>
  <c r="K2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Q45" i="19" l="1"/>
  <c r="AC45" i="19"/>
  <c r="AC55" i="19"/>
  <c r="AI35" i="19"/>
  <c r="K55" i="19"/>
  <c r="M55" i="19"/>
  <c r="M12" i="19"/>
  <c r="AE12" i="19"/>
  <c r="S52" i="19"/>
  <c r="AE52" i="19"/>
  <c r="AE22" i="19"/>
  <c r="Y12" i="19"/>
  <c r="M22" i="19"/>
  <c r="S22" i="19"/>
  <c r="M32" i="19"/>
  <c r="Y32" i="19"/>
  <c r="AK52" i="19"/>
  <c r="AK12" i="19"/>
  <c r="M52" i="19"/>
  <c r="AK22" i="19"/>
  <c r="AE42" i="19"/>
  <c r="S32" i="19"/>
  <c r="Y52" i="19"/>
  <c r="AE32" i="19"/>
  <c r="S42" i="19"/>
  <c r="M42" i="19"/>
  <c r="AK32" i="19"/>
  <c r="Y22" i="19"/>
  <c r="Y42" i="19"/>
  <c r="S12" i="19"/>
  <c r="R40" i="19"/>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E35" i="19" l="1"/>
  <c r="AE45" i="19"/>
  <c r="AK25" i="19"/>
  <c r="M25" i="19"/>
  <c r="AE55" i="19"/>
  <c r="Y25" i="19"/>
  <c r="AE25" i="19"/>
  <c r="M35" i="19"/>
  <c r="S55" i="19"/>
  <c r="AK55" i="19"/>
  <c r="AK35" i="19"/>
  <c r="M15" i="19"/>
  <c r="AK15" i="19"/>
  <c r="Y55" i="19"/>
  <c r="AE15" i="19"/>
  <c r="M45" i="19"/>
  <c r="Y15" i="19"/>
  <c r="S45" i="19"/>
  <c r="S15" i="19"/>
  <c r="Y45" i="19"/>
  <c r="S25" i="19"/>
  <c r="AK45" i="19"/>
  <c r="S35" i="19"/>
  <c r="Y35" i="19"/>
  <c r="R15" i="19"/>
  <c r="AJ15" i="19"/>
  <c r="R55" i="19"/>
  <c r="L15" i="19"/>
  <c r="AD25" i="19"/>
  <c r="AJ25" i="19"/>
  <c r="AD15" i="19"/>
  <c r="AJ35" i="19"/>
  <c r="AJ55" i="19"/>
  <c r="X55" i="19"/>
  <c r="L45" i="19"/>
  <c r="X35" i="19"/>
  <c r="AD35" i="19"/>
  <c r="X25" i="19"/>
  <c r="R25" i="19"/>
  <c r="AD55" i="19"/>
  <c r="X45" i="19"/>
  <c r="X15" i="19"/>
  <c r="L35" i="19"/>
  <c r="L25" i="19"/>
  <c r="R35" i="19"/>
  <c r="AJ45" i="19"/>
  <c r="L55" i="19"/>
  <c r="AD45" i="19"/>
  <c r="R45" i="19"/>
  <c r="AG39" i="19"/>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B223" i="13"/>
  <c r="B222" i="13"/>
  <c r="AF26" i="18" l="1"/>
  <c r="N34" i="18"/>
  <c r="Z10" i="18"/>
  <c r="N18" i="18"/>
  <c r="AF10" i="18"/>
  <c r="T26" i="18"/>
  <c r="AF18" i="18"/>
  <c r="Z26" i="18"/>
  <c r="AL34" i="18"/>
  <c r="AF42" i="18"/>
  <c r="N26" i="18"/>
  <c r="T34" i="18"/>
  <c r="AL18" i="18"/>
  <c r="T42" i="18"/>
  <c r="N10" i="18"/>
  <c r="Z34" i="18"/>
  <c r="Z42" i="18"/>
  <c r="T18" i="18"/>
  <c r="AF34" i="18"/>
  <c r="Z18" i="18"/>
  <c r="AL26" i="18"/>
  <c r="N42" i="18"/>
  <c r="AL42" i="18"/>
  <c r="AL10" i="18"/>
  <c r="T10" i="18"/>
  <c r="P16" i="18"/>
  <c r="AH16" i="18"/>
  <c r="P40" i="18"/>
  <c r="V16" i="18"/>
  <c r="V32" i="18"/>
  <c r="J40" i="18"/>
  <c r="V8" i="18"/>
  <c r="AB16" i="18"/>
  <c r="AH24" i="18"/>
  <c r="V40" i="18"/>
  <c r="AH8" i="18"/>
  <c r="AH40" i="18"/>
  <c r="J16" i="18"/>
  <c r="P32" i="18"/>
  <c r="V24" i="18"/>
  <c r="P24" i="18"/>
  <c r="J32" i="18"/>
  <c r="AH32" i="18"/>
  <c r="J8" i="18"/>
  <c r="AB32" i="18"/>
  <c r="AB8" i="18"/>
  <c r="J24" i="18"/>
  <c r="P8" i="18"/>
  <c r="AB40" i="18"/>
  <c r="AB24" i="18"/>
  <c r="AJ26" i="18"/>
  <c r="R18" i="18"/>
  <c r="X34" i="18"/>
  <c r="AJ10" i="18"/>
  <c r="AD26" i="18"/>
  <c r="AD42" i="18"/>
  <c r="X42" i="18"/>
  <c r="AD34" i="18"/>
  <c r="AD10" i="18"/>
  <c r="AJ34" i="18"/>
  <c r="X10" i="18"/>
  <c r="R26" i="18"/>
  <c r="AD18" i="18"/>
  <c r="L10" i="18"/>
  <c r="L18" i="18"/>
  <c r="R34" i="18"/>
  <c r="L34" i="18"/>
  <c r="AJ42" i="18"/>
  <c r="R10" i="18"/>
  <c r="L26" i="18"/>
  <c r="L42" i="18"/>
  <c r="R42" i="18"/>
  <c r="AJ18" i="18"/>
  <c r="X18" i="18"/>
  <c r="X26" i="18"/>
  <c r="AH20" i="18"/>
  <c r="AB20" i="18"/>
  <c r="P44" i="18"/>
  <c r="J28" i="18"/>
  <c r="AB12" i="18"/>
  <c r="P20" i="18"/>
  <c r="AH12" i="18"/>
  <c r="J20" i="18"/>
  <c r="J44" i="18"/>
  <c r="AB28" i="18"/>
  <c r="AB36" i="18"/>
  <c r="P36" i="18"/>
  <c r="J12" i="18"/>
  <c r="AB44" i="18"/>
  <c r="AH36" i="18"/>
  <c r="V44" i="18"/>
  <c r="J36" i="18"/>
  <c r="V12" i="18"/>
  <c r="V28" i="18"/>
  <c r="AH44" i="18"/>
  <c r="P28" i="18"/>
  <c r="P12" i="18"/>
  <c r="AH28" i="18"/>
  <c r="V20" i="18"/>
  <c r="V36" i="18"/>
  <c r="AB38" i="18"/>
  <c r="AB22" i="18"/>
  <c r="P22" i="18"/>
  <c r="V30" i="18"/>
  <c r="AB30" i="18"/>
  <c r="AB14" i="18"/>
  <c r="AB10" i="1"/>
  <c r="AB11" i="1" s="1"/>
  <c r="AA11" i="1" s="1"/>
  <c r="AC11" i="1" s="1"/>
  <c r="AH30" i="18"/>
  <c r="J30" i="18"/>
  <c r="J22" i="18"/>
  <c r="P38" i="18"/>
  <c r="V38" i="18"/>
  <c r="AB6" i="18"/>
  <c r="AH14" i="18"/>
  <c r="AH38" i="18"/>
  <c r="J14" i="18"/>
  <c r="P30" i="18"/>
  <c r="P14" i="18"/>
  <c r="V14" i="18"/>
  <c r="J38" i="18"/>
  <c r="AH6" i="18"/>
  <c r="V6" i="18"/>
  <c r="J6" i="18"/>
  <c r="AH22" i="18"/>
  <c r="P6" i="18"/>
  <c r="V22" i="18"/>
  <c r="AF22" i="18"/>
  <c r="Z6" i="18"/>
  <c r="N6" i="18"/>
  <c r="AF6" i="18"/>
  <c r="AF14" i="18"/>
  <c r="AF38" i="18"/>
  <c r="T14" i="18"/>
  <c r="AL38" i="18"/>
  <c r="T30" i="18"/>
  <c r="N38" i="18"/>
  <c r="AL30" i="18"/>
  <c r="Z30" i="18"/>
  <c r="AL22" i="18"/>
  <c r="N30" i="18"/>
  <c r="T6" i="18"/>
  <c r="AF30" i="18"/>
  <c r="Z22" i="18"/>
  <c r="N14" i="18"/>
  <c r="T22" i="18"/>
  <c r="N22" i="18"/>
  <c r="Z38" i="18"/>
  <c r="Z14" i="18"/>
  <c r="T38" i="18"/>
  <c r="AL14" i="18"/>
  <c r="AL6" i="18"/>
  <c r="AH42" i="18"/>
  <c r="V18" i="18"/>
  <c r="AB26" i="18"/>
  <c r="AB34" i="18"/>
  <c r="AH26" i="18"/>
  <c r="AB42" i="18"/>
  <c r="V26" i="18"/>
  <c r="AH18" i="18"/>
  <c r="V42" i="18"/>
  <c r="J34" i="18"/>
  <c r="P26" i="18"/>
  <c r="J10" i="18"/>
  <c r="V10" i="18"/>
  <c r="AH34" i="18"/>
  <c r="P10" i="18"/>
  <c r="V34" i="18"/>
  <c r="P42" i="18"/>
  <c r="J26" i="18"/>
  <c r="P18" i="18"/>
  <c r="J42" i="18"/>
  <c r="AB18" i="18"/>
  <c r="AB10" i="18"/>
  <c r="J18" i="18"/>
  <c r="AH10" i="18"/>
  <c r="P34" i="18"/>
  <c r="AD38" i="18"/>
  <c r="L14" i="18"/>
  <c r="AD6" i="18"/>
  <c r="AD22" i="18"/>
  <c r="X38" i="18"/>
  <c r="L30" i="18"/>
  <c r="L22" i="18"/>
  <c r="R38" i="18"/>
  <c r="R6" i="18"/>
  <c r="AJ14" i="18"/>
  <c r="X14" i="18"/>
  <c r="R14" i="18"/>
  <c r="L6" i="18"/>
  <c r="R30" i="18"/>
  <c r="X22" i="18"/>
  <c r="AJ6" i="18"/>
  <c r="AD14" i="18"/>
  <c r="X6" i="18"/>
  <c r="R22" i="18"/>
  <c r="AD30" i="18"/>
  <c r="AJ38" i="18"/>
  <c r="AJ22" i="18"/>
  <c r="X30" i="18"/>
  <c r="L38" i="18"/>
  <c r="AJ30" i="18"/>
  <c r="AD32" i="18"/>
  <c r="AJ32" i="18"/>
  <c r="AD24" i="18"/>
  <c r="AD8" i="18"/>
  <c r="L24" i="18"/>
  <c r="X40" i="18"/>
  <c r="X24" i="18"/>
  <c r="L16" i="18"/>
  <c r="R24" i="18"/>
  <c r="L8" i="18"/>
  <c r="AJ8" i="18"/>
  <c r="AJ24" i="18"/>
  <c r="L32" i="18"/>
  <c r="AD16" i="18"/>
  <c r="X8" i="18"/>
  <c r="R40" i="18"/>
  <c r="L40" i="18"/>
  <c r="X16" i="18"/>
  <c r="AJ16" i="18"/>
  <c r="R32" i="18"/>
  <c r="AD40" i="18"/>
  <c r="X32" i="18"/>
  <c r="R16" i="18"/>
  <c r="R8" i="18"/>
  <c r="AJ40" i="18"/>
  <c r="AL40" i="18"/>
  <c r="Z16" i="18"/>
  <c r="T8" i="18"/>
  <c r="T24" i="18"/>
  <c r="AF16" i="18"/>
  <c r="AL24" i="18"/>
  <c r="Z32" i="18"/>
  <c r="N8" i="18"/>
  <c r="N32" i="18"/>
  <c r="N16" i="18"/>
  <c r="Z8" i="18"/>
  <c r="Z40" i="18"/>
  <c r="AL8" i="18"/>
  <c r="AF8" i="18"/>
  <c r="N40" i="18"/>
  <c r="AL16" i="18"/>
  <c r="AF24" i="18"/>
  <c r="T40" i="18"/>
  <c r="N24" i="18"/>
  <c r="T32" i="18"/>
  <c r="T16" i="18"/>
  <c r="AF40" i="18"/>
  <c r="AL32" i="18"/>
  <c r="Z24" i="18"/>
  <c r="AF32" i="18"/>
  <c r="H210" i="13"/>
  <c r="AA10" i="1" l="1"/>
  <c r="V25" i="19"/>
  <c r="AH15" i="19"/>
  <c r="V45" i="19"/>
  <c r="V35" i="19"/>
  <c r="J15" i="19"/>
  <c r="J55" i="19"/>
  <c r="AB45" i="19"/>
  <c r="AH25" i="19"/>
  <c r="AB55" i="19"/>
  <c r="AH55" i="19"/>
  <c r="AB15" i="19"/>
  <c r="AB25" i="19"/>
  <c r="P15" i="19"/>
  <c r="P45" i="19"/>
  <c r="J45" i="19"/>
  <c r="V15" i="19"/>
  <c r="P25" i="19"/>
  <c r="J35" i="19"/>
  <c r="P35" i="19"/>
  <c r="AH45" i="19"/>
  <c r="AH35" i="19"/>
  <c r="J25" i="19"/>
  <c r="V55" i="19"/>
  <c r="AB35" i="19"/>
  <c r="P55" i="19"/>
  <c r="P16" i="19" l="1"/>
  <c r="V26" i="19"/>
  <c r="P6" i="19"/>
  <c r="AH36" i="19"/>
  <c r="AH6" i="19"/>
  <c r="P26" i="19"/>
  <c r="V46" i="19"/>
  <c r="V16" i="19"/>
  <c r="AH46" i="19"/>
  <c r="V36" i="19"/>
  <c r="AB46" i="19"/>
  <c r="AC10" i="1"/>
  <c r="AB36" i="19"/>
  <c r="J6" i="19"/>
  <c r="AB6" i="19"/>
  <c r="P46" i="19"/>
  <c r="P36" i="19"/>
  <c r="AB26" i="19"/>
  <c r="J36" i="19"/>
  <c r="AH16" i="19"/>
  <c r="AB16" i="19"/>
  <c r="J26" i="19"/>
  <c r="AH26" i="19"/>
  <c r="V6" i="19"/>
  <c r="J16" i="19"/>
  <c r="J46" i="19"/>
  <c r="W36" i="19" l="1"/>
  <c r="Q6" i="19"/>
  <c r="AC36" i="19"/>
  <c r="K6" i="19"/>
  <c r="K16" i="19"/>
  <c r="Q16" i="19"/>
  <c r="AI36" i="19"/>
  <c r="Q26" i="19"/>
  <c r="AI6" i="19"/>
  <c r="K46" i="19"/>
  <c r="AI16" i="19"/>
  <c r="AI46" i="19"/>
  <c r="Q36" i="19"/>
  <c r="AC46" i="19"/>
  <c r="W6" i="19"/>
  <c r="W16" i="19"/>
  <c r="AI26" i="19"/>
  <c r="K36" i="19"/>
  <c r="AC6" i="19"/>
  <c r="W26" i="19"/>
  <c r="Q46" i="19"/>
  <c r="K26" i="19"/>
  <c r="AC26" i="19"/>
  <c r="W46" i="19"/>
  <c r="AC16" i="19"/>
  <c r="L36" i="19"/>
  <c r="X6" i="19"/>
  <c r="AJ6" i="19"/>
  <c r="L16" i="19"/>
  <c r="X26" i="19"/>
  <c r="L6" i="19"/>
  <c r="AJ46" i="19"/>
  <c r="R46" i="19"/>
  <c r="R26" i="19"/>
  <c r="R6" i="19"/>
  <c r="AD6" i="19"/>
  <c r="X16" i="19"/>
  <c r="R36" i="19"/>
  <c r="AD36" i="19"/>
  <c r="AD16" i="19"/>
  <c r="AJ36" i="19"/>
  <c r="L26" i="19"/>
  <c r="X36" i="19"/>
  <c r="AD46" i="19"/>
  <c r="L46" i="19"/>
  <c r="AD26" i="19"/>
  <c r="X46" i="19"/>
  <c r="AJ16" i="19"/>
  <c r="AJ26" i="19"/>
  <c r="R16" i="19"/>
  <c r="N8" i="36" l="1"/>
  <c r="AB8" i="36" l="1"/>
  <c r="AD8" i="36" s="1"/>
  <c r="AB9" i="36"/>
  <c r="AD9" i="36" s="1"/>
</calcChain>
</file>

<file path=xl/sharedStrings.xml><?xml version="1.0" encoding="utf-8"?>
<sst xmlns="http://schemas.openxmlformats.org/spreadsheetml/2006/main" count="1728" uniqueCount="482">
  <si>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</si>
  <si>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</si>
  <si>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</si>
  <si>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</si>
  <si>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</si>
  <si>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</si>
  <si>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</si>
  <si>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</si>
  <si>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</si>
  <si>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</si>
  <si>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</si>
  <si>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</si>
  <si>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</si>
  <si>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</si>
  <si>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</si>
  <si>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</si>
  <si>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</si>
  <si>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</si>
  <si>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</si>
  <si>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</si>
  <si>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</si>
  <si>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</si>
  <si>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</si>
  <si>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</si>
  <si>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</si>
  <si>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</si>
  <si>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</si>
  <si>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</si>
  <si>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</si>
  <si>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</si>
  <si>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</si>
  <si>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</si>
  <si>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</si>
  <si>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</si>
  <si>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</si>
  <si>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</si>
  <si>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</si>
  <si>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</si>
  <si>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</si>
  <si>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</si>
  <si>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</si>
  <si>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</si>
  <si>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</si>
  <si>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</si>
  <si>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</si>
  <si>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</si>
  <si>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</si>
  <si>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</si>
  <si>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</si>
  <si>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</si>
  <si>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</si>
  <si>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</si>
  <si>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</si>
  <si>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</si>
  <si>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</si>
  <si>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</si>
  <si>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</si>
  <si>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</si>
  <si>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</si>
  <si>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</si>
  <si>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t xml:space="preserve">Formato Mapa Riesgos </t>
  </si>
  <si>
    <t>Proceso:</t>
  </si>
  <si>
    <t>Objetivo:</t>
  </si>
  <si>
    <t>Alcance:</t>
  </si>
  <si>
    <t>Identificación del riesgo</t>
  </si>
  <si>
    <t>Análisis del riesgo inherente</t>
  </si>
  <si>
    <t>Evaluación del riesgo - Valoración de los controles</t>
  </si>
  <si>
    <t>Evaluación del riesgo - Nivel del riesgo residual</t>
  </si>
  <si>
    <t>Plan de Acción</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</si>
  <si>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</si>
  <si>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</si>
  <si>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</si>
  <si>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</si>
  <si>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</si>
  <si>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</si>
  <si>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</si>
  <si>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</si>
  <si>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</si>
  <si>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</si>
  <si>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</si>
  <si>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</si>
  <si>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</si>
  <si>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</si>
  <si>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Tipo</t>
  </si>
  <si>
    <t>Implementación</t>
  </si>
  <si>
    <t>Calificación</t>
  </si>
  <si>
    <t>Documentación</t>
  </si>
  <si>
    <t>Frecuencia</t>
  </si>
  <si>
    <t>Evidencia</t>
  </si>
  <si>
    <t>Reputacional</t>
  </si>
  <si>
    <t>Ejecucion y Administracion de procesos</t>
  </si>
  <si>
    <t>Preventivo</t>
  </si>
  <si>
    <t>Manual</t>
  </si>
  <si>
    <t>Documentado</t>
  </si>
  <si>
    <t>Continua</t>
  </si>
  <si>
    <t>Con Registro</t>
  </si>
  <si>
    <t>Reducir (mitigar)</t>
  </si>
  <si>
    <t>Detectivo</t>
  </si>
  <si>
    <t>Correctivo</t>
  </si>
  <si>
    <t>Aleatoria</t>
  </si>
  <si>
    <t>Económico y Reputacional</t>
  </si>
  <si>
    <t>Usuarios, productos y practicas , organizacionales</t>
  </si>
  <si>
    <t>Evitar</t>
  </si>
  <si>
    <t>Automático</t>
  </si>
  <si>
    <t>Sin Documentar</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</si>
  <si>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</si>
  <si>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</si>
  <si>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</si>
  <si>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</si>
  <si>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</si>
  <si>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</si>
  <si>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</si>
  <si>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</si>
  <si>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</si>
  <si>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</si>
  <si>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</si>
  <si>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</si>
  <si>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</si>
  <si>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</si>
  <si>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</si>
  <si>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</si>
  <si>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</si>
  <si>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</si>
  <si>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</si>
  <si>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</si>
  <si>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</si>
  <si>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</si>
  <si>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</si>
  <si>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</si>
  <si>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</si>
  <si>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</si>
  <si>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</si>
  <si>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</si>
  <si>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</si>
  <si>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</si>
  <si>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</si>
  <si>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</si>
  <si>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</si>
  <si>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</si>
  <si>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El riesgo afecta la imagen de alguna área de la organización</t>
  </si>
  <si>
    <t>Menor</t>
  </si>
  <si>
    <t xml:space="preserve">Entre 10 y 50 SMLMV </t>
  </si>
  <si>
    <t>El riesgo afecta la imagen de la entidad internamente, de conocimiento general, nivel interno, de junta dircetiva y accionistas y/o de provedores</t>
  </si>
  <si>
    <t xml:space="preserve">Entre 50 y 100 SMLMV </t>
  </si>
  <si>
    <t>El riesgo afecta la imagen de la entidad con algunos usuarios de relevancia frente al logro de los objetivos</t>
  </si>
  <si>
    <t>Mayor</t>
  </si>
  <si>
    <t xml:space="preserve">Entre 100 y 500 SMLMV </t>
  </si>
  <si>
    <t>El riesgo afecta la imagen de de la entidad con efecto publicitario sostenido a nivel de sector administrativo, nivel departamental o municipal</t>
  </si>
  <si>
    <t>Catastrófico</t>
  </si>
  <si>
    <t xml:space="preserve">Mayor a 500 SMLMV </t>
  </si>
  <si>
    <t>El riesgo afecta la imagen de la entidad a nivel nacional, con efecto publicitarios sostenible a nivel país</t>
  </si>
  <si>
    <t>Afectación_Económica_o_presupuestal</t>
  </si>
  <si>
    <t>Pérdida_Reputacional</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</si>
  <si>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</si>
  <si>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</si>
  <si>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</si>
  <si>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</si>
  <si>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</si>
  <si>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</si>
  <si>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</si>
  <si>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</si>
  <si>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</si>
  <si>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</si>
  <si>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</si>
  <si>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</si>
  <si>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</si>
  <si>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</si>
  <si>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</si>
  <si>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</si>
  <si>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</si>
  <si>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</si>
  <si>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</si>
  <si>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</si>
  <si>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</si>
  <si>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</si>
  <si>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</si>
  <si>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</si>
  <si>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</si>
  <si>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</si>
  <si>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</si>
  <si>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</si>
  <si>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Reducir (compartir)</t>
  </si>
  <si>
    <t>Plan de accion (solo para la opción reducir)</t>
  </si>
  <si>
    <t>Finalizado</t>
  </si>
  <si>
    <t>En curso</t>
  </si>
  <si>
    <t>Daños Activos Fisicos</t>
  </si>
  <si>
    <t>Fallas Tecnologicas</t>
  </si>
  <si>
    <t>Fraude Externo</t>
  </si>
  <si>
    <t>Fraude Interno</t>
  </si>
  <si>
    <t>Relaciones Laborales</t>
  </si>
  <si>
    <t>Registro Sustancial</t>
  </si>
  <si>
    <t>Registro Material</t>
  </si>
  <si>
    <t>Sin registro</t>
  </si>
  <si>
    <t>Reducir</t>
  </si>
  <si>
    <t xml:space="preserve">Asegurar la adecuada administración de los bienes muebles, inmuebles y de consumo y la prestación de los servicios generales. </t>
  </si>
  <si>
    <t xml:space="preserve">Inicia con la elaboración de planes de mantenimiento, anual de Inventarios, aseo y cafeteria, Institucional de Gestión Ambiental, desarrolla las actividades de manejo y control de los bienes muebles e inmuebles y finaliza con los Planes de Mejoramiento, Acciones Correctivas y Acciones Preventivas. </t>
  </si>
  <si>
    <t>ADMINISTRATIVO</t>
  </si>
  <si>
    <t xml:space="preserve">Falta de gestión del inventario. </t>
  </si>
  <si>
    <t xml:space="preserve"> El proceso inicia con el reconocimiento de las condiciones de atención para las personas con discapacidad visual y termina con la evaluación de las acciones desarrolladas </t>
  </si>
  <si>
    <t xml:space="preserve">Desarrollar acciones  que favorezcan los procesos de inclusión social de la población con discapacidad visual, mediante la asistencia técnica, el fortalecimiento en espacios de participación, la gestión del conocimiento y la distribución de material en formatos accesibles acorde con lo establecido en el plan de acción anual. </t>
  </si>
  <si>
    <t xml:space="preserve">ASISTENCIA TÉCNICA </t>
  </si>
  <si>
    <t>CENTRO CULTURAL</t>
  </si>
  <si>
    <t xml:space="preserve">Asesorar y brindar servicios que permitan a las personas con discapacidad visual del país, acceder a la información, el conocimiento y a la cultura.   </t>
  </si>
  <si>
    <t xml:space="preserve">El proceso inicia con las solicitudes de los servicios por parte de entidades públicas, privadas y las personas con discapacidad visual, termina con la evaluación de los mismos. </t>
  </si>
  <si>
    <t xml:space="preserve"> Falta de controles que garanticen la calidad del servicio y/o producto.</t>
  </si>
  <si>
    <t>Debilidades en la planeación de los temas y las campañas de comunicación</t>
  </si>
  <si>
    <t xml:space="preserve">Falta de divulgación de las acciones desarrolladas para la inclusión de las personas con discapacidad visual 
</t>
  </si>
  <si>
    <t xml:space="preserve">El proceso inicia con la elaboración de la estrategia de comunicaciones y un plan de contenidos y finaliza con la promoción y divulgación del tema de discapacidad visual y el quehacer institucional.  </t>
  </si>
  <si>
    <t xml:space="preserve">Desarrollar acciones comunicativas que visibilicen los procesos de educación inclusiva, sociocultural de la población con discapacidad visual y demás servicios del INCI además de fortalecer la cultura organizacional y la imagen institucional de la Entidad.  </t>
  </si>
  <si>
    <t xml:space="preserve">COMUNICACIONES </t>
  </si>
  <si>
    <t>DIRECCIONAMIENTO ESTRATÉGICO</t>
  </si>
  <si>
    <t xml:space="preserve">Asesorar la formulación y el seguimiento de los planes, politicas y proyectos para la inclusión social de la población con  discapacidad visual acorde con los lineamientos establecidos.  
</t>
  </si>
  <si>
    <t xml:space="preserve">Inicia con la identificación de necesidades de la población con discapacidad visual, continua con la formulación y diseño de los planes y proyectos institucionales y termina con su evaluación. </t>
  </si>
  <si>
    <t xml:space="preserve">Incumplimiento de los planes y proyectos institucionales por parte de los procesos </t>
  </si>
  <si>
    <t>Oficina Asesora de Planeación</t>
  </si>
  <si>
    <t>Evaluacion y Mejoramiento</t>
  </si>
  <si>
    <t xml:space="preserve">Evaluar la efectividad del sistema de control interno del INCI mediante el seguimiento y medición de la eficiencia, eficacia y efectividad de la gestión institucional, los procesos, la ejecución de los planes, programas y proyectos, con el fin de generar recomendaciones que orienten y contribuyan al mejoramiento de la entidad, así como a su cumplimiento misional. 
 </t>
  </si>
  <si>
    <t xml:space="preserve">Comprende la identificación de prioridades de evaluación de la gestión institucional, la planeación y ejecución de las auditorías, las evaluaciones y seguimientos establecidos en la normatividad vigente y finaliza con el seguimiento a los planes de mejoramiento institucional y por procesos. 
 </t>
  </si>
  <si>
    <t xml:space="preserve">FINANCIERO </t>
  </si>
  <si>
    <t xml:space="preserve"> Proveer y controlar los recursos presupuestales, financieros y contables para el cumplimiento de los objetivos institucionales. </t>
  </si>
  <si>
    <t>El proceso inicia con la planeación del Presupuesto de la entidad, se desagrega para la operatividad, se controla en su ejecución y finaliza con la presentación de informes de ejecución presupuestal, financiera y contable a clientes internos y externos.</t>
  </si>
  <si>
    <t xml:space="preserve">Falta de oportunidad y calidad de la informacion </t>
  </si>
  <si>
    <t>Inadecuada e inoportuna informacion que se recibe de los  procesos, la falta de adecuados soportes contables y apropiacion del manual de politicas contables.</t>
  </si>
  <si>
    <t xml:space="preserve">El coordinador del proceso Financiero </t>
  </si>
  <si>
    <t>Falta de gestión de los servidores públicos y de seguimiento por parte del proceso de Gestión Contractual.</t>
  </si>
  <si>
    <t xml:space="preserve"> Incumplimiento en el Plan de Adquisiciones</t>
  </si>
  <si>
    <t xml:space="preserve">El proceso inicia con la identificación y programación de las necesidades de contratación y finaliza con la elaboración de planes de mejoramiento, acciones correctivas y preventivas. </t>
  </si>
  <si>
    <t xml:space="preserve">Aplicar los procedimientos legales para contratar bienes, servicios y obras con el fin de satisfacer las necesidades del Instituto </t>
  </si>
  <si>
    <t xml:space="preserve">GESTIÓN CONTRACTUAL </t>
  </si>
  <si>
    <t>ADMINISTRACIÓN DOCUMENTAL</t>
  </si>
  <si>
    <t>Garantizar una Gestion Documental eficiente y efectiva, durante todo el clico de vida de los ducumentos (Archivo de Gestión, Archivo Central y Archivo Historico)</t>
  </si>
  <si>
    <t>Inicia con la Producción o Recepción de los documentos, para luego continuar con su Distribución, Trámite, Organización y Consulta, finalizando con la Conservación y Disposición final de los documentos de acuerdo a lo establecido por las Tablas de Retencion Documental</t>
  </si>
  <si>
    <t xml:space="preserve">Inadecuada gestión de la documentación e información de la entidad </t>
  </si>
  <si>
    <t>Falta de personal idóneo y no aplicación de los controles establecidos</t>
  </si>
  <si>
    <t xml:space="preserve"> GESTION HUMANA</t>
  </si>
  <si>
    <t>Promover el desarrollo del talento humano mediante acciones que generen un ambiente laboral propicio e impacten positivamente la productividad y mejoren la calidad de la vida laboral.</t>
  </si>
  <si>
    <t>El proceso inicia con la definición de necesidades de personal de planta y la gestión de ingreso, continúa con la ejecución de actividades administrativas y de desarrollo del talento humano durante su permanencia en el servicio y finaliza con la gestión del retiro.</t>
  </si>
  <si>
    <t>Perdida de historias laborales</t>
  </si>
  <si>
    <t>Debido a la factores naturales y personales</t>
  </si>
  <si>
    <t xml:space="preserve"> INFORMÁTICA Y TECNOLOGÍA </t>
  </si>
  <si>
    <t>Gestionar los recursos de las tecnologías de la información y comunicaciones para soportar las operaciones institucionales en un marco de confidencialidad, disponibilidad e integridad de la información mediante la administración de la plataforma tecnológica institucional y la prestación del soporte técnico requerido.</t>
  </si>
  <si>
    <t xml:space="preserve">Inicia con la elaboración del Plan Estratégico PETIC producto de la identificación de las necesidades individuales y generales de la Entidad en materia de tecnología y aplicativos informáticos y termina con la verificación de las condiciones de satisfacción de requerimientos PETIC. </t>
  </si>
  <si>
    <t xml:space="preserve">PRODUCCIÓN RADIAL Y AUDIOVISUAL </t>
  </si>
  <si>
    <t>Producir y emitir contenidos radiales y audiovisuales sobre los derechos de la población con discapacidad visual, familias y colectivos como apoyo a la asistencia técnica de la Entidad desde una plataforma virtual. </t>
  </si>
  <si>
    <t xml:space="preserve"> El proceso inicia con la definición de contenidos radiales y audiovisuales con cada grupo de trabajo y termina con la divulgación de dichos contenidos. </t>
  </si>
  <si>
    <t xml:space="preserve">Deficiente emisión de contenidos radiales y audiovisuales </t>
  </si>
  <si>
    <t xml:space="preserve"> Inapropiado seguimiento y validación de calidad de los contenidos radiales y audiovisuales</t>
  </si>
  <si>
    <t>Posibilidad de pérdida reputacional por la deficiente emisión de contenidos radiales y/o audiovisuales debido al inapropiado seguimiento y validación de calidad de los mismos.</t>
  </si>
  <si>
    <t xml:space="preserve">Coordinador de producción radial y audiovisual  </t>
  </si>
  <si>
    <t xml:space="preserve">SERVICIO AL CIUDADANO </t>
  </si>
  <si>
    <t xml:space="preserve">Inicia  con la atención de los ciudadanos a través de los diferentes canales dispuestos por la entidad, y  finaliza con  la respuesta satisfactoria al ciudadano. </t>
  </si>
  <si>
    <t xml:space="preserve"> Inadecuada orientacion a los usuarios y respuestas fuera del limite de tiempo </t>
  </si>
  <si>
    <t xml:space="preserve"> Lineamientos insuficientes y desactualizados para la atencion de usuarios </t>
  </si>
  <si>
    <t>Unidades Productivas</t>
  </si>
  <si>
    <t xml:space="preserve">Producir y comercializar material especializado como apoyo a los procesos de atención y acceso a la información de la población con discapacidad visual, dando respuesta a las solicitudes y requerimientos de personas naturales, entidades públicas y privadas que contribuyen a la inclusión de la población. 
    </t>
  </si>
  <si>
    <t xml:space="preserve"> Inicia con la solicitud de material especializado para la población con discapacidad visual y finaliza con la evaluación de satisfacción del cliente.</t>
  </si>
  <si>
    <t xml:space="preserve">Incumplimiento en la entrega de material especializado para personas con discapacidad visual </t>
  </si>
  <si>
    <t>Coordinador de Unidades Productivas</t>
  </si>
  <si>
    <t>Perdida de clientes de la tienda INCI</t>
  </si>
  <si>
    <t xml:space="preserve"> Errores del personal de la tienda en la entrega de los productos.</t>
  </si>
  <si>
    <t>Posibilidad de pérdida reputacional por disminución de los  clientes debido a  errores del personal encargados de la atención de la tienda INCI en el ingreso de los productos, la orientación en la entrega de los mismos a los clientes y a la falta de inventario que responda a las demandas de los usuarios.</t>
  </si>
  <si>
    <t xml:space="preserve">Asesorar, asistir y representar al Instituto Nacional para Ciegos en todas las actuaciones judiciales y extra judiciales, procurando el cumplimiento y la aplicación de la normatividad legal vigente. </t>
  </si>
  <si>
    <t>Entregable de Control</t>
  </si>
  <si>
    <t>Entregable de Plan de acción</t>
  </si>
  <si>
    <t>Fecha de control</t>
  </si>
  <si>
    <t>Fecha de plan de acción</t>
  </si>
  <si>
    <t>Jefe Oficina Asesora de Comunicaciones</t>
  </si>
  <si>
    <t>Acta de reunión con los lideres de proceso</t>
  </si>
  <si>
    <t>No aplica</t>
  </si>
  <si>
    <t>Cronograma del Plan de Comunicaciones ejecutado y evidencias de reuniones de seguimiento</t>
  </si>
  <si>
    <t>Proceso de Gestión Documental</t>
  </si>
  <si>
    <t xml:space="preserve">Formato de Control y Seguimiento Consulta y Prestamo de Documentos Diligenciado  (archivo Central y de Gestión)  </t>
  </si>
  <si>
    <t>Reporte de consecutivo de correspondencia con sus respectivas observacioens</t>
  </si>
  <si>
    <t>Profesional Universitario de Servicio al Ciudadano</t>
  </si>
  <si>
    <t>Relación de las PQRSD  de Orfeo  que se gestionan desde Servicio al Ciudadano.</t>
  </si>
  <si>
    <t>No Aplica</t>
  </si>
  <si>
    <t>Pantallazo del respositorio donde se realiza el Backup´s de servidores almacenados en la SAN según la política de seguridad de la información y el procedimiento copias de seguridad información digital.</t>
  </si>
  <si>
    <t>Proceso de Gestión Contractual</t>
  </si>
  <si>
    <t>Grupo de Gestión Humana y de la Información</t>
  </si>
  <si>
    <t xml:space="preserve">Proceso adminsitrativo </t>
  </si>
  <si>
    <t>Proceso de Evaluación y Mejoramiento</t>
  </si>
  <si>
    <t>Ejecución y Administración de procesos</t>
  </si>
  <si>
    <t xml:space="preserve">Incumplimiento de los términos la ley para la gestión de PQRSD </t>
  </si>
  <si>
    <t>Inadecuado seguimiento de las PQRSD según la plataforma de gestión documental de la entidad en relación con las PQRSD en la que se establece  la fecha de radicado y se priorizan los tiempos de respuesta según se  establece la ley.</t>
  </si>
  <si>
    <t xml:space="preserve">Inadecuado e inoportuno seguimiento por parte de los líderes de proceso para el cumplimiento de los planes institucionales 
</t>
  </si>
  <si>
    <t>Estudios previos con criterios de selección de formacion idonea</t>
  </si>
  <si>
    <t>Capacitación realizada.
Lista de asistencia.
Evaluación de apropiación</t>
  </si>
  <si>
    <t xml:space="preserve">Documento consolidado con las necesidades manifestadas por los usuarios. </t>
  </si>
  <si>
    <t>Acta y lista de asistencia de la capacitación realizada.</t>
  </si>
  <si>
    <t xml:space="preserve">Evidencia de las  capacitaciones  realizadas en temas como sofware Ineditto y otros identificados. </t>
  </si>
  <si>
    <t>Evidencia de seguimiento al Plan .</t>
  </si>
  <si>
    <t>Reportes.</t>
  </si>
  <si>
    <t>Proceso de Informática y Tecnología</t>
  </si>
  <si>
    <t>Seguimiento al cronograma de ejecución copias de seguridad  del LAN y la Nube (IAAS, PAAS).</t>
  </si>
  <si>
    <t>Posibilidad de pérdida reputacional por el incumplimiento de los planes institucionales debido al inadecuado e inoportuno seguimiento por parte de los líderes de proceso.</t>
  </si>
  <si>
    <t xml:space="preserve">Informe técnico de la verificación de los metadatos del  Dspace con la información real del objeto digital. </t>
  </si>
  <si>
    <t xml:space="preserve">Formato Hoja de Vida Maquina diligenciado </t>
  </si>
  <si>
    <t>Formato de calidad de emisión y calidad al aire, diligenciado</t>
  </si>
  <si>
    <t>Formato de calidad del contenido audiovisual diligenciado, donde se verifiquen los criterios de calidad del producto audiovisual.</t>
  </si>
  <si>
    <t>Ejecución y Administracion de procesos</t>
  </si>
  <si>
    <t xml:space="preserve"> Orden de producción y remisión.</t>
  </si>
  <si>
    <t xml:space="preserve"> Reporte consolidado de la gestión de las PQRSD y pantallazo de correos enviados.</t>
  </si>
  <si>
    <t>Actas de reunión.</t>
  </si>
  <si>
    <t>Capacitación y evaluacion sobre " el uso de Orfeo y Confidencialidad de la Información"</t>
  </si>
  <si>
    <t xml:space="preserve">Acta de reunión </t>
  </si>
  <si>
    <t>El coordinador del proceso de Unidades Productivas, válida las especificaciones técnicas estipuladas en la cotización y orden de producción.</t>
  </si>
  <si>
    <t>Brindar información y orientación pertinente y oportuna sobre los servicios institucionales y aquellos que ofertan las entidades públicas y privadas a las personas con discapacidad visual, sus familias y sus colectivos;  a las instituciones públicas y privadas y a la población en general, para contribuir  a la satisfacción y mejoramiento de la confianza del ciudadano frente a la institución.</t>
  </si>
  <si>
    <t>Afectación menor a 10 SMLMV.</t>
  </si>
  <si>
    <t>Leve</t>
  </si>
  <si>
    <t>afectación menor a 10 SMLMV</t>
  </si>
  <si>
    <t>afectación entre 10 y 50 SMLMV</t>
  </si>
  <si>
    <t>afectación entre 50 y 100 SMLMV</t>
  </si>
  <si>
    <t>afectación entre 100 y 500 SMLMV</t>
  </si>
  <si>
    <t>afectación mayor a 500 SMLMV</t>
  </si>
  <si>
    <t>1-3-2</t>
  </si>
  <si>
    <t>1-2</t>
  </si>
  <si>
    <t>Redacción reputacional</t>
  </si>
  <si>
    <t>Redacción reputacional y económica</t>
  </si>
  <si>
    <t>El profesional de la Oficina Asesora de Comunicaciones</t>
  </si>
  <si>
    <t>Plan de comunicaciones con las necesidades de divulgación de información de los procesos de la Entidad.</t>
  </si>
  <si>
    <t>Reputacional y Económica</t>
  </si>
  <si>
    <t>Posibilidad de pérdida reputacional y/o económica por el incumplimiento o errores en la entrega de material especializado para personas con discapacidad visual, debido a fallas durante el proceso de planeación y/o producción.</t>
  </si>
  <si>
    <t>Fallas durante el proceso de planeación y/o producción.</t>
  </si>
  <si>
    <t>El abogado contratista defensa jurídica del estado, de la Oficina Asesora Jurídica, deberá alimentar mínimo 2 veces al año la plataforma Ekogui con la relación de la provisión contable y/o cuando el proceso tenga cambios importantes, el tema pecuniarios, y a su vez informar a financiera mediante memorando interno la sentencia que genera la obligación de pago por parte de la entidad a favor de un tercero.</t>
  </si>
  <si>
    <t>Formato Entrega del Cargo y/o informe de empalme y/o acta de gestión Ley 951 de 2005 (directivos que manejo de recursos) aprobado en el sistema de gestión documental</t>
  </si>
  <si>
    <t>Aprobación, implementación y socialización a todos los servidores públicos de la entidad</t>
  </si>
  <si>
    <t>El jefe de personal, con visto bueno del Coordinador de Gestión Humana y de la Información revisa y autoriza la consulta y/o el prestamo de expedientes de las historias laborales, previa verificación del expediente, con base en la solicitud realizada y las politicas definidas para el acceso a las mismas.</t>
  </si>
  <si>
    <t>Formato Hoja de Control de Historias Laborales y repositorio definido</t>
  </si>
  <si>
    <t>El coordinador junto con el secretario(a) del proceso realiza la verificación el diligenciamiento del formato de consulta y prestamo</t>
  </si>
  <si>
    <t>Acta de seguimiento para determinar compromisos.</t>
  </si>
  <si>
    <t>Realizar las comunicaciones a las instituciones educativas y organizaciones para la confirmación de entrega del material.</t>
  </si>
  <si>
    <t>Acta de mesa de contratación
Comunicaciones y requerimientos</t>
  </si>
  <si>
    <t xml:space="preserve"> Inadecuada gestión de  bienes muebles y de consumo</t>
  </si>
  <si>
    <t>El técnico administrativo verifica la ejecución del Cronograma para realizar tomas de inventario, junto con el seguimiento correspondiente en la vigencia.</t>
  </si>
  <si>
    <t>Verificar la ejecución del Cronograma para realizar tomas de inventario y hacer el seguimiento una vez al año. Se realiza cada dos meses, la verificación por muestra de 10 bienes suceptibles de sustracción y de alto costo.</t>
  </si>
  <si>
    <t>Cronograma elaborado  
y ejetudado
Muestreos realizados</t>
  </si>
  <si>
    <t>Registrar los movimientos de inventario aprobado por los jefes del proceso que este a cargo del inventario en el aplicativo revisando que los elementos coincidan con el formato de Solicitud, Traslado o Reintegro de Bienes.</t>
  </si>
  <si>
    <t>El técnico administrativo realiza el registro de solicitudes debidamente aprobadas y entregadas al grupo de gestión Administrativa y Financiera.</t>
  </si>
  <si>
    <t>Probabilidad de perdida reputacional y económica por inconsistencias en la información contable que se registra en SIIF debido  a la 
inadecuada e inoportuna información que se recibe de los  procesos, la falta de adecuados soportes contables y la indebida aplicación del manual de políticas contables.</t>
  </si>
  <si>
    <t>Envíar alertas a los procesos para el cumplimiento del "Cronograma entrega de Información al Procesos Contable".</t>
  </si>
  <si>
    <t xml:space="preserve">Correos de alerta a los diferentes procesos </t>
  </si>
  <si>
    <t>Realizar las solicitudes de cumplimiento en la mesa de contratación de los servicios conexos (tiquetes, entre otros) para el desarrollo de actividades misionales.</t>
  </si>
  <si>
    <t>El coordinador junto con el secretario(a) del proceso realiza la verificación  cuatrimestralmente al 10% de la totalidad de historias laborales activas, de manera aleatoria.</t>
  </si>
  <si>
    <t>Insuficiencia de recursos (fisicos, humanos, tecnologicos, económicos)</t>
  </si>
  <si>
    <t>Falta de idoneidad y/o competencia del personal de la dependencia (profesionales, auditores, contratistas)</t>
  </si>
  <si>
    <t xml:space="preserve">
Falta o debilidades en la planificación y control en la elaboración de informes, auditorias y seguimiento</t>
  </si>
  <si>
    <t>Falta de apropiación de las responsabilidades de la linea de defensa</t>
  </si>
  <si>
    <t>Inadecuado e inoportuno seguimiento y medición del sistema de control interno</t>
  </si>
  <si>
    <t>fallas en la definición oportuna de necesidades de contratación y presupuesto</t>
  </si>
  <si>
    <t>la falta de planificación en los procesos de contratación de los servicios conexos (seguridad y vigilancia, tiquetes, reparaciones locativas, entre otros) de la entidad</t>
  </si>
  <si>
    <t>Realizar el levantamiento y planificación de los procesos de contratación de los servicios conexos (seguridad y vigilancia, tiquetes, reparaciones locativas, entre otros).</t>
  </si>
  <si>
    <t>Cotizaciones y estudio de mercado, preliminar para cada servicio.</t>
  </si>
  <si>
    <t>El(la) coordinador(a) del grupo de Gestión Administrativa y Financiera, junto con sus profesionales, realiza el levantamiento y planificación de los procesos de contratación de los servicios conexos (seguridad y vigilancia, tiquetes, reparaciones locativas, entre otros), a través de la recolección de información con los proveedores disponibles en el mercado y estudios técnicos necesarios para la definición de Plan de Adquisiciones del siguiente vigencia.</t>
  </si>
  <si>
    <t>Posibilidad de afectación económica por el incumpliento en el pago por concepto de sentencias, ejecutadas conciliaciones a causa de demoras en su liquidación y pago generado por una deficiencia en el cálculo del pasivo contingente y la provisión correspondiente al año en curso, debido a falta de metodología o desconocimiento de las personas que lo elaboran y la ejecución inoportuna de los procesos de pago de la obligación y cumplimiento de sentencias,  deficiencias en el presupuesto asignado para el rubro.</t>
  </si>
  <si>
    <t>Proceso financiero</t>
  </si>
  <si>
    <t>El profesional designado y/o apoderado del(los) caso(s) en la Oficina Asesora Jurídica</t>
  </si>
  <si>
    <t>Fallas en el debido proceso para las actuaciones judiciales y extra judiciales que debe realizar la entidad en el marco de la normativa vigente.</t>
  </si>
  <si>
    <t>Perdida de los procesos judiciales</t>
  </si>
  <si>
    <t>El técnico operativo y/o contratista del proceso de Gestión Documental realiza procesos de socialización con los jefes, secretarias y servidores públicos sobre el uso de Orfeo y políticas de confidencialidad de la información, dondes se evalúa la apropiación de los conocimientos adquiridos.</t>
  </si>
  <si>
    <t>Posibilidad de pérdida reputacional y económico por inadecuada gestión de la documentación e información de la entidad, debido a la  falta de personal idóneo y no aplicación de los controles establecidos</t>
  </si>
  <si>
    <t xml:space="preserve">El profesional de la Oficina Asesora de Comunicaciones verifica que se cumpla el cronograma establecido y que cada publicación cumpla con los lineamientos del manual de identidad visual con el propósito de divulgar la información de la gestión institucional en forma clara y accesible. </t>
  </si>
  <si>
    <t>El(la) Jefe de la Oficina Asesora de Comunicaciones verifica los materiales a publicar de acuerdo con la estrategia y objetivos de comunicación.</t>
  </si>
  <si>
    <t>Enero a Febrero de 2026</t>
  </si>
  <si>
    <t>Marzo a Diciembre 2026</t>
  </si>
  <si>
    <t>Posibilidad de pérdida reputacional y financiera por la falta de divulgación de las acciones desarrolladas para la inclusión de las personas con discapacidad visual, debido al uso inadecuado de los contenidos de comunicación.</t>
  </si>
  <si>
    <t>Verificar y definir la metodologia para los tramites y procesos internos misionales a través reuniones cuatrimestrales con los coordinadores de los mismos, frente a la información que se brinda de cara a la ciudadania. Para la reunión se realiza acta de reuníon con las novedades y los compromisos para complementación y ajuste de información.</t>
  </si>
  <si>
    <t>Enero a Diciembre de 2026</t>
  </si>
  <si>
    <t>Acta de reunión y actualización de la información.</t>
  </si>
  <si>
    <t>Posibilidad de pérdida reputacional por la inadecuada orientación general a los usuarios debido a fallas en la entrega y actualización de la información por parte de de los servidores públicos responsables de la respuesta en los procesos misionales de la entidad.</t>
  </si>
  <si>
    <t>Posibilidad de perdida reputacional y económica por incumplimiento de los términos de la ley para la gestión de PQRSD debido a un inadecuado uso y  seguimiento de las mismas en la plataforma de gestión documental.</t>
  </si>
  <si>
    <t>El profesional Universitario del servicio al ciudadano verifica los tiempos de respuesta de las PQRSD recibidas trimestralmente, en la Entidad a traves del Sistema de gestión documental ORFEO y realiza su seguimiento, soportado en correos electronicos e informes.</t>
  </si>
  <si>
    <t>Verificar los tiempos de respuesta de las PQRSD recibidas trimestralmente, en la Entidad a traves del Sistema de gestión documental ORFEO y realiza su seguimiento, soportado en correos electronicos e informes.</t>
  </si>
  <si>
    <t>Realizar una capacitación anual y acompañamiento cuando se requiera, a todos los servidores públicos en temas de PQRSD y la gestión en la plataforma ORFEO y verifica la apropiación de estos conocimientos. La evidencia del control es la capacitación realizada, las listas de asistencia y evaluaciones de conocimiento.</t>
  </si>
  <si>
    <t>Mayo a agosto de 2026</t>
  </si>
  <si>
    <t xml:space="preserve">Correos electrónicos dirigido al lider del proceso y al responsable de la respuesta con copia a la Secretaría General.  </t>
  </si>
  <si>
    <t>Acta de reunión de la Mesa de Contratación donde se hace seguimiento 
Estudios previos y de mercado revisados</t>
  </si>
  <si>
    <t>Acta de reunión.</t>
  </si>
  <si>
    <t>Posibilidad de perdida reputacional y/o economica por la no liquidación dentro de los plazos  legales establecidos de los contratos debido a falta de gestión de los servidores  públicos de las dependencias interesadas y de seguimiento por parte del proceso de Gestión Contractual</t>
  </si>
  <si>
    <t xml:space="preserve"> Incumplimiento en la liquidación de los contratos</t>
  </si>
  <si>
    <t>Enero a Diciembre
2026</t>
  </si>
  <si>
    <t xml:space="preserve">Matriz de seguimiento de los procesos judiciales revisados en las plataformas de la rama judicial </t>
  </si>
  <si>
    <t>Soporte definido para el seguimiento a la respuesta de los procesos judiciales, en el marco de los procedimientos internos vigentes.</t>
  </si>
  <si>
    <t>Posibilidad de pérdida reputacional y/o economica (patrimonial) por incumplimiento en la ejecución del Plan anual de Adquisiciones debido a la falta de gestión de los servidores públicos de las dependencias interesadas y de seguimiento por parte del proceso de Gestión Contractual.</t>
  </si>
  <si>
    <t>Posibilidad de afectación reputacional y/o económica debido a la perdida de los procesos judiciales por fallas en la garantía del debido proceso interno en las actuaciones judiciales y extra judiciales que debe realizar la entidad en el marco de la normativa vigente.</t>
  </si>
  <si>
    <t>El jefe de la Oficina Asesora Jurídica, realiza el seguimiento a la alerta  de respuesta de los procesos judiciales dos veces a la semana de acuerdo con lo definido en el procedimiento vigente en el SIG y el soporte definido para tal fin.</t>
  </si>
  <si>
    <t>El Coordinador y lider del proceso financiero envía alertas mensuales y/o trimestrales de los procesos financieros para el cumplimiento del "Cronograma entrega de Información al Proceso Contable".</t>
  </si>
  <si>
    <t>Los profesionales del proceso financiero revisan los soportes de la información que entregan las áreas que hacen parte del proceso contable y presupuestal con el fin de realizar los respectivos registros en SIIF Sistema  de Información Financiera</t>
  </si>
  <si>
    <t>Las áreas que aportan la información para el registro contable deben certificar que la información cumple con las características de comprensibilidad, relevancia, oportunidad, fiabilidad y comparabilidad</t>
  </si>
  <si>
    <t>Certificaciones</t>
  </si>
  <si>
    <t>Ataques cibernéticos, daños en la infraestructura  tecnológica e inadecuada gestión de recursos de tecnologías de la información y comunicaciones para soportar las operaciones institucionales</t>
  </si>
  <si>
    <t>Pérdida de la información y confidencialidad de las operaciones institucionales</t>
  </si>
  <si>
    <t>Posibilidad de afectación reputacional y económica por pérdida de la información, debido a ataques cibernéticos, daños en la infraestructura  tecnológica y a la inadecuada gestión de recursos de tecnologías de la información y comunicaciones para soportar las operaciones institucionales en el marco de los principios de confidencialidad, disponibilidad e integridad de la información.</t>
  </si>
  <si>
    <t>Los profesionales del proceso de Informática y Tecnología y contratistas realizan  las campañas en donde se socialice y se verifique la apropiación la política de seguridad de la información.</t>
  </si>
  <si>
    <t>Los profesionales del proceso de Informática y Tecnología y contratistas ejecutan la política de seguridad de la información con  las herramientas informáticas con las que cuenta la entidad.</t>
  </si>
  <si>
    <t>Cronograma o informe  de ejecucion de la política de seguridad de la información con  las herramientas informáticas con las que cuenta la Entidad.</t>
  </si>
  <si>
    <t xml:space="preserve">Posibilidad de pérdida reputacional por falta de alineacion de los perfiles del recurso humano que labora en la institución con los objetivos de la entidad debido a la falta de actualización del manual de funciones </t>
  </si>
  <si>
    <t xml:space="preserve">falta de actualización del manual de funciones </t>
  </si>
  <si>
    <t xml:space="preserve">El coordinador del proceso de gestión humana y el jefe de la dependencia gestionan la actualización del manual de funciones y verifican que los perfiles y las fichas técnicas esten de acuerdo con los objetivos institucionales </t>
  </si>
  <si>
    <t>Realizar seguimiento  cuatrimestral al Cronograma de trabajo</t>
  </si>
  <si>
    <t>Enero a diciembre de 2026</t>
  </si>
  <si>
    <t>Mayo a diciembre de 2026</t>
  </si>
  <si>
    <t>Fichas manual de funciones</t>
  </si>
  <si>
    <t>Diana Brinez</t>
  </si>
  <si>
    <t>Incumplimiento en la programacion y errores en la producción de documentos digitales accesibles para las personas con discapacidad visual.</t>
  </si>
  <si>
    <t>Posibilidad de pérdida reputaciónal por incumplimiento de la programación del  Centro Cultural con entidades publicas, privadas y población en general y/o errores en la producción de documentos digitales accesibles para las personas con discapacidad visual debido a falta de controles que garanticen la calidad del servicio y/o producto.</t>
  </si>
  <si>
    <t>El coordinador del proceso de Centro Cultural, verifica que se de respuesta a las solicitudes de talleres recibidas a través del  aplicativo  ORFEO.</t>
  </si>
  <si>
    <t>Los técnicos operativos del proceso Centro Cultural revisan los criterios de calidad de los recursos digitales establecidos en los Manuales Estructuración y catalogación.</t>
  </si>
  <si>
    <t>El contratista del servicio de biblioteca del proceso del Centro Cultural, realiza soporte técnico del repositorio institucional de la biblioteca en el cual revisa y verifica que  los metadatos ingresados en el Dspace correspondan con la información real del objeto digital.</t>
  </si>
  <si>
    <t>Febrero a diciembre de 2026</t>
  </si>
  <si>
    <t>Memorandos</t>
  </si>
  <si>
    <t>Correo electrónico</t>
  </si>
  <si>
    <t>Certificar que la información del registro contable cumple con las características de comprensibilidad, relevancia, oportunidad, fiabilidad y comparabilidad</t>
  </si>
  <si>
    <t xml:space="preserve"> Revisar los soportes de la información que entregan las áreas que hacen parte del proceso contable y presupuestal con el fin de realizar los respectivos registros en SIIF Sistema  de Información Financiera</t>
  </si>
  <si>
    <t>Posibilidad de pérdida reputacional por perdida de información en los procesos de empalme y/o entrega de los servidores públicos que se retiran de la entidad o reubican de dependencia o grupo interno de trabajo, debido al incumplimiento de lo establecido en el procedimiento de situaciones administrativas y ausencia de suscripcion de acuerdos de confidencialidad</t>
  </si>
  <si>
    <t xml:space="preserve">El coordinador del proceso de Gestión Humana y el jefe de la dependencia correspondiente verifica que a través del Formato Entrega del Cargo,  informe de empalme y/o acta de gestión Ley 951 de 2005 (directivos con manejo de recursos) que la informacion esta completa conforme con el procedimiento Situaciones administrativas en lo relacionado con situación de retiro, encargo o reubicación que y guarda relacion directa con el cargo desempeñado </t>
  </si>
  <si>
    <t>Aprobar, implementar y socializar el acta de informe de gestión donde ademas se incluya las acciones para la retención del conocimiento y la socialización con las areas.</t>
  </si>
  <si>
    <t>El Secretario y el Coordinador del proceso de Gestión Humana y de la Información revisa y confronta  la historia laboral de los servidores públicos a través del formato Hoja de Control de Historias Laborales digitaliza y guarda los expedientes en los repositorios de la entidad con el fin de salvaguardar la información. Se realiza revisión aleatoria de los expedientes dejando acta sobre el estado de la verificación de la documentación fisica y digital.</t>
  </si>
  <si>
    <t>Enero - diciembre de 2026</t>
  </si>
  <si>
    <t>Fichas del manual</t>
  </si>
  <si>
    <t>Formato de consulta y préstamo</t>
  </si>
  <si>
    <t xml:space="preserve">Falta de alineacion de los perfiles del recurso humano que labora en la institución con los objetivos de la entidad </t>
  </si>
  <si>
    <t>Pérdida de información en los procesos de empalme y/o entrega de los servidores públicos que se retiran</t>
  </si>
  <si>
    <t>Incumplimiento de lo establecido en el procedimiento de situaciones administrativas y ausencia de suscripción de acuerdos de confidencialidad</t>
  </si>
  <si>
    <r>
      <rPr>
        <b/>
        <sz val="11"/>
        <color theme="9" tint="-0.249977111117893"/>
        <rFont val="Arial"/>
        <family val="2"/>
      </rPr>
      <t xml:space="preserve">*Nota: </t>
    </r>
    <r>
      <rPr>
        <sz val="11"/>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</si>
  <si>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Registro del seguimiento de cumplimiento de los talleres</t>
  </si>
  <si>
    <t>Registro de control de los criterios de calidad de los recursos digitales establecidos en los Manuales Estructuración y catalogación</t>
  </si>
  <si>
    <t>Julio a diciembre de 2026</t>
  </si>
  <si>
    <t xml:space="preserve">Campañas de seguridad de la información y evaluación de la campaña </t>
  </si>
  <si>
    <t>Gestión Juridica</t>
  </si>
  <si>
    <r>
      <t xml:space="preserve">Posibilidad de pérdida reputacional por supresión, alteracion o modificación no autorizada de historias laborales debido a practicas indebidas por parte de los responsables y solicitantes de la información y/o hechos sobrevinientes </t>
    </r>
    <r>
      <rPr>
        <sz val="20"/>
        <color rgb="FFFF0000"/>
        <rFont val="Arial"/>
        <family val="2"/>
      </rPr>
      <t>Agregar a corrupcion.</t>
    </r>
  </si>
  <si>
    <t>Documentación áreas y en SIIF</t>
  </si>
  <si>
    <t xml:space="preserve">Posibilidad de pérdida reputacional y económica por inadecuado control de bienes muebles y de consumo debido a incumplimiento a los procedimientos asociados al inventario. </t>
  </si>
  <si>
    <t xml:space="preserve">Reporte consolidado de los seguimientos.
Registros y evidencias </t>
  </si>
  <si>
    <t>El técnico operativo y/o contratista del proceso de Unidades Productivas, verifica la calidad del material especializado producido en la imprenta, dando cumplimiento a los requisitos solicitados por el cliente de acuerdo a cada orden de producción.</t>
  </si>
  <si>
    <t>El técnico operativo y/o contratista del proceso de Unidades Productivas revisa y actualiza las hojas de vida de las máquinas de acuerdo a lo establecido en el Plan de Mantenimiento.</t>
  </si>
  <si>
    <t>El técnico administrativo responsable de la tienda INCI revisa y consolida las necesidades de productos manifestadas por los usuarios de la tienda y los procesos misionales en cumplimiento del procedimiento.</t>
  </si>
  <si>
    <t>El coordinador y/o productor y/o contratista (grabador de contenido radial) del proceso revisa la calidad y el cumplimiento de los tiempos y pausas institucionales de los contenidos radiales.</t>
  </si>
  <si>
    <t>El profesional universitario y/o contratista de producción audiovisual verifica el cumplimiento de los criterios de calidad del producto,  establecidos en  el  procedimiento audiovisual.</t>
  </si>
  <si>
    <r>
      <t xml:space="preserve">El profesional universitario de servicio al ciudadano, verifica y define la metodologia para los tramites y procesos internos misionales a través </t>
    </r>
    <r>
      <rPr>
        <b/>
        <sz val="12"/>
        <rFont val="Arial"/>
        <family val="2"/>
      </rPr>
      <t>reuniones cuatrimestrales</t>
    </r>
    <r>
      <rPr>
        <sz val="12"/>
        <rFont val="Arial"/>
        <family val="2"/>
      </rPr>
      <t xml:space="preserve"> con los coordinadores de los mismos, frente a la información que se brinda de cara a la ciudadania. Para la reunión se realiza acta de reuníon con las novedades y los compromisos para complementación y ajuste de información.</t>
    </r>
  </si>
  <si>
    <r>
      <t xml:space="preserve">El profesional Universitario del servicio al ciudadano, realiza seguimiento a las respuestas de las PQRSD registradas en el Sistema de gestión documental ORFEO, consolida </t>
    </r>
    <r>
      <rPr>
        <b/>
        <sz val="12"/>
        <rFont val="Arial"/>
        <family val="2"/>
      </rPr>
      <t>cada dos (2) días el reporte</t>
    </r>
    <r>
      <rPr>
        <sz val="12"/>
        <rFont val="Arial"/>
        <family val="2"/>
      </rPr>
      <t xml:space="preserve"> y envía mediante correo electrónico alertas a los servidores públicos responsables las que se encuentren pendientes por gestión, con copia a los Jefes de área o dependencia con el fin que se gestionen oportunamente las respuestas a las PQRSD.</t>
    </r>
  </si>
  <si>
    <r>
      <t xml:space="preserve">Realizar seguimiento a las respuestas de las PQRSD registradas en el Sistema de gestión documental ORFEO, consolida </t>
    </r>
    <r>
      <rPr>
        <b/>
        <sz val="12"/>
        <rFont val="Arial"/>
        <family val="2"/>
      </rPr>
      <t>cada dos (2) días el reporte</t>
    </r>
    <r>
      <rPr>
        <sz val="12"/>
        <rFont val="Arial"/>
        <family val="2"/>
      </rPr>
      <t xml:space="preserve"> y envía mediante correo electrónico alertas a los servidores públicos responsables las que se encuentren pendientes por gestión, con copia a los Jefes de área o dependencia con el fin que se gestionen oportunamente las respuestas a las PQRSD.</t>
    </r>
  </si>
  <si>
    <t>Posibilidad de afectación reputacional, por incumplimiento de las actividades establecidas en el plan anual de auditoría, debido a deficiencias en el seguimiento y control de la gestión institucional por falta de oportunidad y calidad en la entrega de información.</t>
  </si>
  <si>
    <t>El asesor de Dirección General con funciones de Control Interno revisa y aprueba los informes de acuerdo con la periodicidad establecida en el plan de auditoría y tramita la publicación de los mismos en los espacios oficiales destinados para ello.</t>
  </si>
  <si>
    <t>El profesional especializado de la oficina de control interno solicita y revisa oportunamente la información, documentación y evidencias remitidas por los procesos para la consolidación de los informes y seguimientos establecidos en el plan de auditoría, de acuerdo a la frecuencia definida en el mismo. 
En caso de fallas parciales en el cumplimiento en las evaluaciones independientes internas, se realizan informes acumulados para el siguiente mes periodo.</t>
  </si>
  <si>
    <t xml:space="preserve">Solicitar y revisar oportunamente la información, documentación y evidencias remitidas por los procesos para la consolidación de los informes y seguimientos establecidos en el plan de auditoría, de acuerdo a la frecuencia definida en el mismo. </t>
  </si>
  <si>
    <t>Revisar los perfiles, idoneidad y experiencia del personal a contratar y gestiona la formación y capacitación que requiera el grupo de trabajo para el desarrollo de sus funciones.</t>
  </si>
  <si>
    <t xml:space="preserve">información, documentación y evidencias remitidas </t>
  </si>
  <si>
    <t xml:space="preserve"> informes de acuerdo con la periodicidad establecida en el plan de auditoría</t>
  </si>
  <si>
    <t>Revisar y aprobar los informes de acuerdo con la periodicidad establecida en el plan de auditoría y tramitar la publicación de los mismos en los espacios oficiales destinados para ello.</t>
  </si>
  <si>
    <t xml:space="preserve">perfiles, idoneidad y experiencia del personal a contratar </t>
  </si>
  <si>
    <t>Enero a Diciembre 2026</t>
  </si>
  <si>
    <t>Mayo  a Diciembre de 2026</t>
  </si>
  <si>
    <t>Enero -Diciembre de 2026</t>
  </si>
  <si>
    <t>El líder del proceso de Gestión Contractual requiere, a través de correo electrónico institucional, a los supervisores de los contratos la elaboración, suscripción y radicación del acta de liquidación, mediante comunicación preventiva con una antelación mínima de quince (15) días a la terminación del contrato y, una vez finalizado, dentro de los cinco (5) días siguientes. Así mismo, en caso de incumplimiento, deberá reiterar el requerimiento por el mismo medio y, de persistir, informar al jefe inmediato del supervisor para lo de su competencia.</t>
  </si>
  <si>
    <r>
      <t xml:space="preserve">El asesor de Dirección General con funciones de Control Interno revisa </t>
    </r>
    <r>
      <rPr>
        <sz val="12"/>
        <color rgb="FFC00000"/>
        <rFont val="Arial"/>
        <family val="2"/>
      </rPr>
      <t xml:space="preserve">las necesidades de personal junto con la revisión de </t>
    </r>
    <r>
      <rPr>
        <sz val="12"/>
        <color rgb="FF0070C0"/>
        <rFont val="Arial"/>
        <family val="2"/>
      </rPr>
      <t>los perfiles, idoneidad y experiencia del personal a contratar</t>
    </r>
    <r>
      <rPr>
        <sz val="12"/>
        <color rgb="FFC00000"/>
        <rFont val="Arial"/>
        <family val="2"/>
      </rPr>
      <t xml:space="preserve">. Asimismo </t>
    </r>
    <r>
      <rPr>
        <sz val="12"/>
        <color rgb="FF0070C0"/>
        <rFont val="Arial"/>
        <family val="2"/>
      </rPr>
      <t>gestiona la formación y capacitación que requiera el grupo de trabajo para el desarrollo de sus funciones.</t>
    </r>
  </si>
  <si>
    <r>
      <t xml:space="preserve">El profesional de la Oficina Asesora de Comunicaciones revisa y aprueba las necesidades </t>
    </r>
    <r>
      <rPr>
        <sz val="12"/>
        <color rgb="FFC00000"/>
        <rFont val="Arial"/>
        <family val="2"/>
      </rPr>
      <t>de segmentación de públicos, lineamientos editoriales, validación de alcance o mecanismos de planificación comunicacional de divulgación de información</t>
    </r>
    <r>
      <rPr>
        <sz val="12"/>
        <color rgb="FF0070C0"/>
        <rFont val="Arial"/>
        <family val="2"/>
      </rPr>
      <t xml:space="preserve"> con los procesos de la Entidad, </t>
    </r>
    <r>
      <rPr>
        <sz val="12"/>
        <color rgb="FFC00000"/>
        <rFont val="Arial"/>
        <family val="2"/>
      </rPr>
      <t xml:space="preserve">para definición del </t>
    </r>
    <r>
      <rPr>
        <sz val="12"/>
        <color rgb="FF0070C0"/>
        <rFont val="Arial"/>
        <family val="2"/>
      </rPr>
      <t>Plan de Comunicaciones.</t>
    </r>
  </si>
  <si>
    <r>
      <t xml:space="preserve">Los profesionales del proceso de Informática y Tecnología y contratistas realizan el backup de servidores almacenados en la SAN según la política de seguridad de la información y el procedimiento copias de seguridad información digital, </t>
    </r>
    <r>
      <rPr>
        <sz val="12"/>
        <color rgb="FFC00000"/>
        <rFont val="Arial"/>
        <family val="2"/>
      </rPr>
      <t>apoyado en el  cronograma de Ejecución Copias de Seguridad  del LAN y la Nube (IAAS, PAAS).</t>
    </r>
  </si>
  <si>
    <r>
      <t xml:space="preserve">Los profesionales del proceso de Informática y Tecnología y contratistas realizan seguimiento </t>
    </r>
    <r>
      <rPr>
        <sz val="12"/>
        <color rgb="FFC00000"/>
        <rFont val="Arial"/>
        <family val="2"/>
      </rPr>
      <t>a la continuidad operativa de los servicios disponibles en la infraestructura tecnológica.</t>
    </r>
  </si>
  <si>
    <r>
      <t xml:space="preserve">El profesional Universitario del servicio al ciudadano realiza una capacitación anual y acompañamiento cuando se requiera, a todos los servidores públicos en temas de PQRSD y la gestión en la plataforma ORFEO y verifica la apropiación de estos conocimientos </t>
    </r>
    <r>
      <rPr>
        <sz val="12"/>
        <color rgb="FFC00000"/>
        <rFont val="Arial"/>
        <family val="2"/>
      </rPr>
      <t>acorde con los principios de seguridad de información (disponibilidad, integridad y confidencialidad)</t>
    </r>
    <r>
      <rPr>
        <sz val="12"/>
        <color rgb="FF0070C0"/>
        <rFont val="Arial"/>
        <family val="2"/>
      </rPr>
      <t>. La evidencia del control es la capacitación realizada, las listas de asistencia y evaluaciones de conocimiento.</t>
    </r>
  </si>
  <si>
    <r>
      <t xml:space="preserve">El coordinador del proceso de gestion documental </t>
    </r>
    <r>
      <rPr>
        <sz val="12"/>
        <color rgb="FFC00000"/>
        <rFont val="Arial"/>
        <family val="2"/>
      </rPr>
      <t xml:space="preserve"> designado </t>
    </r>
    <r>
      <rPr>
        <sz val="12"/>
        <rFont val="Arial"/>
        <family val="2"/>
      </rPr>
      <t>y el jefe de la dependencia gestionan y verifican que se establezcan dos fichas tecnicas dentro del manual de funciones para contar con recurso humano de planta que reduzca el riesgo de perdida de memoria institucional</t>
    </r>
  </si>
  <si>
    <r>
      <t xml:space="preserve">El coordinador </t>
    </r>
    <r>
      <rPr>
        <sz val="12"/>
        <color rgb="FFC00000"/>
        <rFont val="Arial"/>
        <family val="2"/>
      </rPr>
      <t xml:space="preserve">designado, </t>
    </r>
    <r>
      <rPr>
        <sz val="12"/>
        <rFont val="Arial"/>
        <family val="2"/>
      </rPr>
      <t xml:space="preserve">el jefe de la dependencia, </t>
    </r>
    <r>
      <rPr>
        <sz val="12"/>
        <color rgb="FFC00000"/>
        <rFont val="Arial"/>
        <family val="2"/>
      </rPr>
      <t>el técnico operativo y/o contratista</t>
    </r>
    <r>
      <rPr>
        <sz val="12"/>
        <rFont val="Arial"/>
        <family val="2"/>
      </rPr>
      <t xml:space="preserve"> del proceso de Gestión Documental </t>
    </r>
    <r>
      <rPr>
        <sz val="12"/>
        <color rgb="FFC00000"/>
        <rFont val="Arial"/>
        <family val="2"/>
      </rPr>
      <t xml:space="preserve">Proceso de Gestión Documental y los profesionales de Informática y Tecnología </t>
    </r>
    <r>
      <rPr>
        <sz val="12"/>
        <rFont val="Arial"/>
        <family val="2"/>
      </rPr>
      <t>verifican que se implementen los lineamientos establecidos por el AGN conforme con el acuerdo No 001 de 2024 en lo referente a la documentación electrónica y preservación digital.</t>
    </r>
  </si>
  <si>
    <r>
      <t xml:space="preserve">El técnico operativo y/o contratista </t>
    </r>
    <r>
      <rPr>
        <sz val="12"/>
        <color rgb="FFC00000"/>
        <rFont val="Arial"/>
        <family val="2"/>
      </rPr>
      <t xml:space="preserve">y el coordinador designado </t>
    </r>
    <r>
      <rPr>
        <sz val="12"/>
        <rFont val="Arial"/>
        <family val="2"/>
      </rPr>
      <t>del proceso de Gestión Documental verifica y ajusta los perfiles de los estudios previos, se encuentren de acuerdo con los criterios de selección idónea del personal de la dependencia.</t>
    </r>
  </si>
  <si>
    <r>
      <t xml:space="preserve">Documento de movimiento </t>
    </r>
    <r>
      <rPr>
        <sz val="12"/>
        <color rgb="FFC00000"/>
        <rFont val="Arial"/>
        <family val="2"/>
      </rPr>
      <t>o memorando que soporte la solicitud</t>
    </r>
  </si>
  <si>
    <r>
      <t>El técnico del proceso y/o contratista de Gestión Documental y los responsables de archivo, realizan el control a la consulta y préstamo de documentos y/o expedientes de acuerdo a los establecido en el procedimiento</t>
    </r>
    <r>
      <rPr>
        <sz val="12"/>
        <color rgb="FFC00000"/>
        <rFont val="Arial"/>
        <family val="2"/>
      </rPr>
      <t xml:space="preserve"> y acorde con los principios de seguridad de información (disponibilidad, integridad y confidencialidad).</t>
    </r>
  </si>
  <si>
    <t>Usuarios, productos y prácticas, organizacionales</t>
  </si>
  <si>
    <t xml:space="preserve">Realizar el seguimiento mensual a la programación de las asistencias y asesorías técnicas. </t>
  </si>
  <si>
    <t xml:space="preserve">Proceso de Asistencia Técnica  </t>
  </si>
  <si>
    <t>La Subdirección Técnica realiza las solicitudes de cumplimiento en la mesa de contratación de los servicios conexos (tiquetes, entre otros) para el desarrollo de actividades misionales.</t>
  </si>
  <si>
    <t>Posibilidad de afectación Reputacional y económica, a causa de inconvenientes en el proceso productivo y de distribución para la entrega de material especializado a instituciones del país, debido a fallas internas en los procesos operativos, administrativos y contractuales del INCI.</t>
  </si>
  <si>
    <t>La Subdirección técnica, líder del proceso de asistencia técnica, realiza el seguimiento al plan de producción y la matriz de distribución de material en las reuniones de dotación mensual, para dar cumplimiento a la entrega del material especializado a nivel nacional.</t>
  </si>
  <si>
    <t>Resolución de dotación, guías, actas de reunión de dotación</t>
  </si>
  <si>
    <t>Oficina Asesora de Planeación realiza el reporte y consolida en el instrumento de seguimiento al Plan de Acción Anual, la información mensual del avance de las actividades y metas del plan de acción, pertinencia, oportunidad y calidad de la evidencias.</t>
  </si>
  <si>
    <t>La oficina asesora de planeación realiza seguimiento cuatrimestral a las actividades establecidas en el plan de acción anual y reportan las alertas de los resultados en el Comité Institucional de Gestión y Desempeño con el  objeto de establecer las acciones de mejora pertinentes </t>
  </si>
  <si>
    <t>La Oficina Asesora de Planeación realiza la validación de los avances de los planes de segundo nivel, derivados del plan de acción institucional que permita conocer el cumplimiento de metas.</t>
  </si>
  <si>
    <t>La Subdirección Técnica realiza el seguimiento mensual a la programación de las asistencias y asesorías técnicas, para tomar las medidas correctivas pertinentes a través de los diferentes canales de comunicación, disponibles. En este seguimiento se realiza la validación previa de conectividad, protocolos de contingencia o canales alternos de atención previo a la confirmación y programación del compromiso para las actividades de asistencia y/o asesoría técnica. Se registra acta de seguimiento para determinar compromisos.</t>
  </si>
  <si>
    <t>Posibilidad de afectación reputacional, a causa de eventos sobrevinientes con el territorio que no permiten el desarrollo de las asesorías y asistencias técnicas brindadas por el INCI, debido a debilidades en la gestión de asistencia técnica y de las áreas de apoyo del INCI.</t>
  </si>
  <si>
    <t>El profesional designado y/o apoderado del(los) caso(s) en la Oficina Asesora Jurídica, gestiona el proceso judicial registrado en la plataforma de la rama judicial, dos veces en la semana en el historial del proceso.</t>
  </si>
  <si>
    <t>El jefe y/o el abogado contratista de la Oficina Asesora Jurídica gestionará ante la Agencia Nacional de Defensa Jurídica del Estado las capacitaciones  para la apropiación de conocimientos de los servidores públicos que están involucrados en el proceso de la defensa jurídica</t>
  </si>
  <si>
    <t xml:space="preserve">El proceso inicia con la identificación de la normatividad, doctrina y jurisprudencia, continua con la recepción de solicitud de asesoría, representación judicial o extrajudicial; continúa con su análisis jurídico y seguimiento, y finaliza con adelantar acciones para la mejora. </t>
  </si>
  <si>
    <t>La Secretaría General, a través del Grupo Administrativo y  Financiero, en articulación con la Oficina Asesora de Planeación harán seguimiento para determinar si las necesidades establecidas y los servicios definidos en el plan anual de adquisiciones han sido atendidas en los plazos establecidos. Se genera informe mensual a la Ordenación de Gasto sobre los presupuestos no han sido afectados para la toma de decisiones de redistribución presupuestal.</t>
  </si>
  <si>
    <t>El líder del proceso de Gestión Contractual solicita a través de memorando adelantar los procesos de liquidación de los contratos pendientes.</t>
  </si>
  <si>
    <t>La Mesa Técnica de Contratación mensualmente revisará y aprobará los estudios previos de los procesos contractuales establecidos dentro del Plan Anual Adquisiciones, previa remisión por parte de las áreas generadoras de la necesidad y/o servicios a contratar y propondran ajustes presupuestales.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</si>
</sst>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8"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sz val="8"/>
      <name val="Calibri"/>
      <family val="2"/>
      <scheme val="minor"/>
    </font>
    <font>
      <sz val="12"/>
      <color theme="1"/>
      <name val="Arial"/>
      <family val="2"/>
    </font>
    <font>
      <sz val="12"/>
      <name val="Arial"/>
      <family val="2"/>
    </font>
    <font>
      <sz val="12"/>
      <color rgb="FFFFFFFF"/>
      <name val="Arial Narrow"/>
      <family val="2"/>
    </font>
    <font>
      <b/>
      <sz val="12"/>
      <color theme="1"/>
      <name val="Arial"/>
      <family val="2"/>
    </font>
    <font>
      <sz val="11"/>
      <color theme="1"/>
      <name val="Arial"/>
      <family val="2"/>
    </font>
    <font>
      <b/>
      <sz val="14"/>
      <color theme="1"/>
      <name val="Arial"/>
      <family val="2"/>
    </font>
    <font>
      <b/>
      <sz val="12"/>
      <name val="Arial"/>
      <family val="2"/>
    </font>
    <font>
      <sz val="16"/>
      <name val="Arial Narrow"/>
      <family val="2"/>
    </font>
    <font>
      <sz val="12"/>
      <color rgb="FF00B050"/>
      <name val="Arial"/>
      <family val="2"/>
    </font>
    <font>
      <b/>
      <sz val="12"/>
      <color rgb="FF00B050"/>
      <name val="Arial"/>
      <family val="2"/>
    </font>
    <font>
      <b/>
      <sz val="11"/>
      <color theme="1"/>
      <name val="Arial"/>
      <family val="2"/>
    </font>
    <font>
      <sz val="12"/>
      <color rgb="FF0070C0"/>
      <name val="Arial"/>
      <family val="2"/>
    </font>
    <font>
      <sz val="12"/>
      <color rgb="FF7030A0"/>
      <name val="Arial"/>
      <family val="2"/>
    </font>
    <font>
      <sz val="11"/>
      <color rgb="FF0070C0"/>
      <name val="Arial"/>
      <family val="2"/>
    </font>
    <font>
      <sz val="11"/>
      <name val="Arial"/>
      <family val="2"/>
    </font>
    <font>
      <sz val="14"/>
      <name val="Arial"/>
      <family val="2"/>
    </font>
    <font>
      <b/>
      <sz val="22"/>
      <color theme="1"/>
      <name val="Arial"/>
      <family val="2"/>
    </font>
    <font>
      <b/>
      <sz val="18"/>
      <color theme="1"/>
      <name val="Arial"/>
      <family val="2"/>
    </font>
    <font>
      <b/>
      <sz val="11"/>
      <color theme="9" tint="-0.249977111117893"/>
      <name val="Arial"/>
      <family val="2"/>
    </font>
    <font>
      <sz val="14"/>
      <color theme="1"/>
      <name val="Arial"/>
      <family val="2"/>
    </font>
    <font>
      <b/>
      <sz val="11"/>
      <name val="Arial"/>
      <family val="2"/>
    </font>
    <font>
      <sz val="20"/>
      <color rgb="FFFF0000"/>
      <name val="Arial"/>
      <family val="2"/>
    </font>
    <font>
      <sz val="12"/>
      <color rgb="FFC00000"/>
      <name val="Arial"/>
      <family val="2"/>
    </font>
  </fonts>
  <fills count="20">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s>
  <borders count="83">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top/>
      <bottom/>
      <diagonal/>
    </border>
    <border>
      <left style="thin">
        <color indexed="64"/>
      </left>
      <right style="dashed">
        <color theme="9" tint="-0.24994659260841701"/>
      </right>
      <top style="dashed">
        <color theme="9" tint="-0.24994659260841701"/>
      </top>
      <bottom/>
      <diagonal/>
    </border>
    <border>
      <left/>
      <right style="dashed">
        <color theme="9" tint="-0.2499465926084170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5">
    <xf numFmtId="0" fontId="0" fillId="0" borderId="0"/>
    <xf numFmtId="9" fontId="14" fillId="0" borderId="0" applyFont="0" applyFill="0" applyBorder="0" applyAlignment="0" applyProtection="0"/>
    <xf numFmtId="0" fontId="43" fillId="0" borderId="0"/>
    <xf numFmtId="0" fontId="44" fillId="0" borderId="0"/>
    <xf numFmtId="0" fontId="5" fillId="0" borderId="0"/>
  </cellStyleXfs>
  <cellXfs count="869">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8" fillId="0" borderId="0" xfId="0" applyFont="1" applyAlignment="1">
      <alignment horizontal="center" vertical="center" wrapText="1"/>
    </xf>
    <xf numFmtId="0" fontId="9" fillId="6" borderId="0" xfId="0" applyFont="1" applyFill="1" applyAlignment="1">
      <alignment horizontal="center" vertical="center" wrapText="1" readingOrder="1"/>
    </xf>
    <xf numFmtId="0" fontId="10" fillId="5" borderId="11" xfId="0" applyFont="1" applyFill="1" applyBorder="1" applyAlignment="1">
      <alignment horizontal="center" vertical="center" wrapText="1" readingOrder="1"/>
    </xf>
    <xf numFmtId="0" fontId="10" fillId="0" borderId="11" xfId="0" applyFont="1" applyBorder="1" applyAlignment="1">
      <alignment horizontal="justify" vertical="center" wrapText="1" readingOrder="1"/>
    </xf>
    <xf numFmtId="9" fontId="10" fillId="0" borderId="11" xfId="0" applyNumberFormat="1" applyFont="1" applyBorder="1" applyAlignment="1">
      <alignment horizontal="center" vertical="center" wrapText="1" readingOrder="1"/>
    </xf>
    <xf numFmtId="0" fontId="10" fillId="7" borderId="1" xfId="0" applyFont="1" applyFill="1" applyBorder="1" applyAlignment="1">
      <alignment horizontal="center" vertical="center" wrapText="1" readingOrder="1"/>
    </xf>
    <xf numFmtId="0" fontId="10" fillId="0" borderId="1" xfId="0" applyFont="1" applyBorder="1" applyAlignment="1">
      <alignment horizontal="justify" vertical="center" wrapText="1" readingOrder="1"/>
    </xf>
    <xf numFmtId="9" fontId="10" fillId="0" borderId="1" xfId="0" applyNumberFormat="1" applyFont="1" applyBorder="1" applyAlignment="1">
      <alignment horizontal="center" vertical="center" wrapText="1" readingOrder="1"/>
    </xf>
    <xf numFmtId="0" fontId="10" fillId="4" borderId="1" xfId="0" applyFont="1" applyFill="1" applyBorder="1" applyAlignment="1">
      <alignment horizontal="center" vertical="center" wrapText="1" readingOrder="1"/>
    </xf>
    <xf numFmtId="0" fontId="10" fillId="8" borderId="1" xfId="0" applyFont="1" applyFill="1" applyBorder="1" applyAlignment="1">
      <alignment horizontal="center" vertical="center" wrapText="1" readingOrder="1"/>
    </xf>
    <xf numFmtId="0" fontId="11" fillId="9" borderId="1" xfId="0" applyFont="1" applyFill="1" applyBorder="1" applyAlignment="1">
      <alignment horizontal="center" vertical="center" wrapText="1" readingOrder="1"/>
    </xf>
    <xf numFmtId="0" fontId="15" fillId="0" borderId="0" xfId="0" applyFont="1"/>
    <xf numFmtId="0" fontId="13"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1" fillId="3" borderId="0" xfId="0" applyFont="1" applyFill="1" applyAlignment="1">
      <alignment horizontal="center"/>
    </xf>
    <xf numFmtId="0" fontId="1" fillId="3" borderId="0" xfId="0" applyFont="1" applyFill="1" applyAlignment="1">
      <alignment horizontal="center" vertical="center"/>
    </xf>
    <xf numFmtId="0" fontId="1" fillId="3" borderId="0" xfId="0" applyFont="1" applyFill="1" applyAlignment="1">
      <alignment horizontal="left" vertical="center"/>
    </xf>
    <xf numFmtId="0" fontId="28" fillId="0" borderId="0" xfId="0" applyFont="1" applyAlignment="1">
      <alignment vertical="center"/>
    </xf>
    <xf numFmtId="0" fontId="29" fillId="0" borderId="0" xfId="0" applyFont="1"/>
    <xf numFmtId="0" fontId="27" fillId="0" borderId="0" xfId="0" applyFont="1"/>
    <xf numFmtId="0" fontId="0" fillId="0" borderId="0" xfId="0" pivotButton="1"/>
    <xf numFmtId="0" fontId="12" fillId="0" borderId="0" xfId="0" applyFont="1" applyAlignment="1">
      <alignment horizontal="justify" vertical="center" wrapText="1" readingOrder="1"/>
    </xf>
    <xf numFmtId="0" fontId="30" fillId="0" borderId="0" xfId="0" applyFont="1"/>
    <xf numFmtId="0" fontId="19" fillId="11" borderId="12" xfId="0" applyFont="1" applyFill="1" applyBorder="1" applyAlignment="1" applyProtection="1">
      <alignment horizontal="center" vertical="center" wrapText="1" readingOrder="1"/>
      <protection hidden="1"/>
    </xf>
    <xf numFmtId="0" fontId="19" fillId="11" borderId="19" xfId="0" applyFont="1" applyFill="1" applyBorder="1" applyAlignment="1" applyProtection="1">
      <alignment horizontal="center" vertical="center" wrapText="1" readingOrder="1"/>
      <protection hidden="1"/>
    </xf>
    <xf numFmtId="0" fontId="19" fillId="11" borderId="13" xfId="0" applyFont="1" applyFill="1" applyBorder="1" applyAlignment="1" applyProtection="1">
      <alignment horizontal="center" vertical="center" wrapText="1" readingOrder="1"/>
      <protection hidden="1"/>
    </xf>
    <xf numFmtId="0" fontId="19" fillId="12" borderId="12" xfId="0" applyFont="1" applyFill="1" applyBorder="1" applyAlignment="1" applyProtection="1">
      <alignment horizontal="center" wrapText="1" readingOrder="1"/>
      <protection hidden="1"/>
    </xf>
    <xf numFmtId="0" fontId="19" fillId="12" borderId="19" xfId="0" applyFont="1" applyFill="1" applyBorder="1" applyAlignment="1" applyProtection="1">
      <alignment horizontal="center" wrapText="1" readingOrder="1"/>
      <protection hidden="1"/>
    </xf>
    <xf numFmtId="0" fontId="19" fillId="12" borderId="13" xfId="0" applyFont="1" applyFill="1" applyBorder="1" applyAlignment="1" applyProtection="1">
      <alignment horizontal="center" wrapText="1" readingOrder="1"/>
      <protection hidden="1"/>
    </xf>
    <xf numFmtId="0" fontId="19" fillId="11" borderId="14" xfId="0" applyFont="1" applyFill="1" applyBorder="1" applyAlignment="1" applyProtection="1">
      <alignment horizontal="center" vertical="center" wrapText="1" readingOrder="1"/>
      <protection hidden="1"/>
    </xf>
    <xf numFmtId="0" fontId="19" fillId="11" borderId="0" xfId="0" applyFont="1" applyFill="1" applyAlignment="1" applyProtection="1">
      <alignment horizontal="center" vertical="center" wrapText="1" readingOrder="1"/>
      <protection hidden="1"/>
    </xf>
    <xf numFmtId="0" fontId="19" fillId="11" borderId="15" xfId="0" applyFont="1" applyFill="1" applyBorder="1" applyAlignment="1" applyProtection="1">
      <alignment horizontal="center" vertical="center" wrapText="1" readingOrder="1"/>
      <protection hidden="1"/>
    </xf>
    <xf numFmtId="0" fontId="19" fillId="12" borderId="14" xfId="0" applyFont="1" applyFill="1" applyBorder="1" applyAlignment="1" applyProtection="1">
      <alignment horizontal="center" wrapText="1" readingOrder="1"/>
      <protection hidden="1"/>
    </xf>
    <xf numFmtId="0" fontId="19" fillId="12" borderId="0" xfId="0" applyFont="1" applyFill="1" applyAlignment="1" applyProtection="1">
      <alignment horizontal="center" wrapText="1" readingOrder="1"/>
      <protection hidden="1"/>
    </xf>
    <xf numFmtId="0" fontId="19" fillId="12" borderId="15" xfId="0" applyFont="1" applyFill="1" applyBorder="1" applyAlignment="1" applyProtection="1">
      <alignment horizontal="center" wrapText="1" readingOrder="1"/>
      <protection hidden="1"/>
    </xf>
    <xf numFmtId="0" fontId="19" fillId="11" borderId="16" xfId="0" applyFont="1" applyFill="1" applyBorder="1" applyAlignment="1" applyProtection="1">
      <alignment horizontal="center" vertical="center" wrapText="1" readingOrder="1"/>
      <protection hidden="1"/>
    </xf>
    <xf numFmtId="0" fontId="19" fillId="11" borderId="18" xfId="0" applyFont="1" applyFill="1" applyBorder="1" applyAlignment="1" applyProtection="1">
      <alignment horizontal="center" vertical="center" wrapText="1" readingOrder="1"/>
      <protection hidden="1"/>
    </xf>
    <xf numFmtId="0" fontId="19" fillId="11" borderId="17" xfId="0" applyFont="1" applyFill="1" applyBorder="1" applyAlignment="1" applyProtection="1">
      <alignment horizontal="center" vertical="center" wrapText="1" readingOrder="1"/>
      <protection hidden="1"/>
    </xf>
    <xf numFmtId="0" fontId="19" fillId="12" borderId="16" xfId="0" applyFont="1" applyFill="1" applyBorder="1" applyAlignment="1" applyProtection="1">
      <alignment horizontal="center" wrapText="1" readingOrder="1"/>
      <protection hidden="1"/>
    </xf>
    <xf numFmtId="0" fontId="19" fillId="12" borderId="18" xfId="0" applyFont="1" applyFill="1" applyBorder="1" applyAlignment="1" applyProtection="1">
      <alignment horizontal="center" wrapText="1" readingOrder="1"/>
      <protection hidden="1"/>
    </xf>
    <xf numFmtId="0" fontId="19" fillId="12" borderId="17" xfId="0" applyFont="1" applyFill="1" applyBorder="1" applyAlignment="1" applyProtection="1">
      <alignment horizontal="center" wrapText="1" readingOrder="1"/>
      <protection hidden="1"/>
    </xf>
    <xf numFmtId="0" fontId="19" fillId="13" borderId="12" xfId="0" applyFont="1" applyFill="1" applyBorder="1" applyAlignment="1" applyProtection="1">
      <alignment horizontal="center" wrapText="1" readingOrder="1"/>
      <protection hidden="1"/>
    </xf>
    <xf numFmtId="0" fontId="19" fillId="13" borderId="19" xfId="0" applyFont="1" applyFill="1" applyBorder="1" applyAlignment="1" applyProtection="1">
      <alignment horizontal="center" wrapText="1" readingOrder="1"/>
      <protection hidden="1"/>
    </xf>
    <xf numFmtId="0" fontId="19" fillId="13" borderId="13" xfId="0" applyFont="1" applyFill="1" applyBorder="1" applyAlignment="1" applyProtection="1">
      <alignment horizontal="center" wrapText="1" readingOrder="1"/>
      <protection hidden="1"/>
    </xf>
    <xf numFmtId="0" fontId="19" fillId="13" borderId="14" xfId="0" applyFont="1" applyFill="1" applyBorder="1" applyAlignment="1" applyProtection="1">
      <alignment horizontal="center" wrapText="1" readingOrder="1"/>
      <protection hidden="1"/>
    </xf>
    <xf numFmtId="0" fontId="19" fillId="13" borderId="0" xfId="0" applyFont="1" applyFill="1" applyAlignment="1" applyProtection="1">
      <alignment horizontal="center" wrapText="1" readingOrder="1"/>
      <protection hidden="1"/>
    </xf>
    <xf numFmtId="0" fontId="19" fillId="13" borderId="15" xfId="0" applyFont="1" applyFill="1" applyBorder="1" applyAlignment="1" applyProtection="1">
      <alignment horizontal="center" wrapText="1" readingOrder="1"/>
      <protection hidden="1"/>
    </xf>
    <xf numFmtId="0" fontId="19" fillId="13" borderId="16" xfId="0" applyFont="1" applyFill="1" applyBorder="1" applyAlignment="1" applyProtection="1">
      <alignment horizontal="center" wrapText="1" readingOrder="1"/>
      <protection hidden="1"/>
    </xf>
    <xf numFmtId="0" fontId="19" fillId="13" borderId="18" xfId="0" applyFont="1" applyFill="1" applyBorder="1" applyAlignment="1" applyProtection="1">
      <alignment horizontal="center" wrapText="1" readingOrder="1"/>
      <protection hidden="1"/>
    </xf>
    <xf numFmtId="0" fontId="19" fillId="13" borderId="17" xfId="0" applyFont="1" applyFill="1" applyBorder="1" applyAlignment="1" applyProtection="1">
      <alignment horizontal="center" wrapText="1" readingOrder="1"/>
      <protection hidden="1"/>
    </xf>
    <xf numFmtId="0" fontId="19" fillId="5" borderId="12" xfId="0" applyFont="1" applyFill="1" applyBorder="1" applyAlignment="1" applyProtection="1">
      <alignment horizontal="center" wrapText="1" readingOrder="1"/>
      <protection hidden="1"/>
    </xf>
    <xf numFmtId="0" fontId="19" fillId="5" borderId="19" xfId="0" applyFont="1" applyFill="1" applyBorder="1" applyAlignment="1" applyProtection="1">
      <alignment horizontal="center" wrapText="1" readingOrder="1"/>
      <protection hidden="1"/>
    </xf>
    <xf numFmtId="0" fontId="19" fillId="5" borderId="13" xfId="0" applyFont="1" applyFill="1" applyBorder="1" applyAlignment="1" applyProtection="1">
      <alignment horizontal="center" wrapText="1" readingOrder="1"/>
      <protection hidden="1"/>
    </xf>
    <xf numFmtId="0" fontId="19" fillId="5" borderId="14" xfId="0" applyFont="1" applyFill="1" applyBorder="1" applyAlignment="1" applyProtection="1">
      <alignment horizontal="center" wrapText="1" readingOrder="1"/>
      <protection hidden="1"/>
    </xf>
    <xf numFmtId="0" fontId="19" fillId="5" borderId="0" xfId="0" applyFont="1" applyFill="1" applyAlignment="1" applyProtection="1">
      <alignment horizontal="center" wrapText="1" readingOrder="1"/>
      <protection hidden="1"/>
    </xf>
    <xf numFmtId="0" fontId="19" fillId="5" borderId="15" xfId="0" applyFont="1" applyFill="1" applyBorder="1" applyAlignment="1" applyProtection="1">
      <alignment horizontal="center" wrapText="1" readingOrder="1"/>
      <protection hidden="1"/>
    </xf>
    <xf numFmtId="0" fontId="19" fillId="5" borderId="16" xfId="0" applyFont="1" applyFill="1" applyBorder="1" applyAlignment="1" applyProtection="1">
      <alignment horizontal="center" wrapText="1" readingOrder="1"/>
      <protection hidden="1"/>
    </xf>
    <xf numFmtId="0" fontId="19" fillId="5" borderId="18" xfId="0" applyFont="1" applyFill="1" applyBorder="1" applyAlignment="1" applyProtection="1">
      <alignment horizontal="center" wrapText="1" readingOrder="1"/>
      <protection hidden="1"/>
    </xf>
    <xf numFmtId="0" fontId="19" fillId="5" borderId="17" xfId="0" applyFont="1" applyFill="1" applyBorder="1" applyAlignment="1" applyProtection="1">
      <alignment horizontal="center" wrapText="1" readingOrder="1"/>
      <protection hidden="1"/>
    </xf>
    <xf numFmtId="0" fontId="23" fillId="13" borderId="19" xfId="0" applyFont="1" applyFill="1" applyBorder="1" applyAlignment="1" applyProtection="1">
      <alignment horizontal="center" wrapText="1" readingOrder="1"/>
      <protection hidden="1"/>
    </xf>
    <xf numFmtId="0" fontId="0" fillId="3" borderId="0" xfId="0" applyFill="1"/>
    <xf numFmtId="0" fontId="45" fillId="3" borderId="51" xfId="2" applyFont="1" applyFill="1" applyBorder="1"/>
    <xf numFmtId="0" fontId="45" fillId="3" borderId="52" xfId="2" applyFont="1" applyFill="1" applyBorder="1"/>
    <xf numFmtId="0" fontId="45" fillId="3" borderId="53" xfId="2" applyFont="1" applyFill="1" applyBorder="1"/>
    <xf numFmtId="0" fontId="16" fillId="3" borderId="0" xfId="0" applyFont="1" applyFill="1" applyAlignment="1">
      <alignment vertical="center"/>
    </xf>
    <xf numFmtId="0" fontId="5" fillId="3" borderId="0" xfId="0" applyFont="1" applyFill="1"/>
    <xf numFmtId="0" fontId="32" fillId="3" borderId="0" xfId="0" applyFont="1" applyFill="1"/>
    <xf numFmtId="0" fontId="33" fillId="3" borderId="34" xfId="0" applyFont="1" applyFill="1" applyBorder="1" applyAlignment="1">
      <alignment horizontal="center" vertical="center" wrapText="1" readingOrder="1"/>
    </xf>
    <xf numFmtId="0" fontId="34" fillId="3" borderId="34" xfId="0" applyFont="1" applyFill="1" applyBorder="1" applyAlignment="1">
      <alignment horizontal="justify" vertical="center" wrapText="1" readingOrder="1"/>
    </xf>
    <xf numFmtId="9" fontId="33" fillId="3" borderId="43" xfId="0" applyNumberFormat="1" applyFont="1" applyFill="1" applyBorder="1" applyAlignment="1">
      <alignment horizontal="center" vertical="center" wrapText="1" readingOrder="1"/>
    </xf>
    <xf numFmtId="0" fontId="33" fillId="3" borderId="33" xfId="0" applyFont="1" applyFill="1" applyBorder="1" applyAlignment="1">
      <alignment horizontal="center" vertical="center" wrapText="1" readingOrder="1"/>
    </xf>
    <xf numFmtId="0" fontId="34" fillId="3" borderId="33" xfId="0" applyFont="1" applyFill="1" applyBorder="1" applyAlignment="1">
      <alignment horizontal="justify" vertical="center" wrapText="1" readingOrder="1"/>
    </xf>
    <xf numFmtId="9" fontId="33" fillId="3" borderId="38" xfId="0" applyNumberFormat="1" applyFont="1" applyFill="1" applyBorder="1" applyAlignment="1">
      <alignment horizontal="center" vertical="center" wrapText="1" readingOrder="1"/>
    </xf>
    <xf numFmtId="0" fontId="34" fillId="3" borderId="38" xfId="0" applyFont="1" applyFill="1" applyBorder="1" applyAlignment="1">
      <alignment horizontal="center" vertical="center" wrapText="1" readingOrder="1"/>
    </xf>
    <xf numFmtId="0" fontId="33" fillId="3" borderId="40" xfId="0" applyFont="1" applyFill="1" applyBorder="1" applyAlignment="1">
      <alignment horizontal="center" vertical="center" wrapText="1" readingOrder="1"/>
    </xf>
    <xf numFmtId="0" fontId="34" fillId="3" borderId="40" xfId="0" applyFont="1" applyFill="1" applyBorder="1" applyAlignment="1">
      <alignment horizontal="justify" vertical="center" wrapText="1" readingOrder="1"/>
    </xf>
    <xf numFmtId="0" fontId="34" fillId="3" borderId="41" xfId="0" applyFont="1" applyFill="1" applyBorder="1" applyAlignment="1">
      <alignment horizontal="center" vertical="center" wrapText="1" readingOrder="1"/>
    </xf>
    <xf numFmtId="0" fontId="42" fillId="3" borderId="0" xfId="0" applyFont="1" applyFill="1"/>
    <xf numFmtId="0" fontId="33" fillId="15" borderId="45" xfId="0" applyFont="1" applyFill="1" applyBorder="1" applyAlignment="1">
      <alignment horizontal="center" vertical="center" wrapText="1" readingOrder="1"/>
    </xf>
    <xf numFmtId="0" fontId="33" fillId="15" borderId="46" xfId="0" applyFont="1" applyFill="1" applyBorder="1" applyAlignment="1">
      <alignment horizontal="center" vertical="center" wrapText="1" readingOrder="1"/>
    </xf>
    <xf numFmtId="0" fontId="13" fillId="3" borderId="0" xfId="0" applyFont="1" applyFill="1"/>
    <xf numFmtId="0" fontId="12" fillId="3" borderId="0" xfId="0" applyFont="1" applyFill="1" applyAlignment="1">
      <alignment horizontal="justify" vertical="center" wrapText="1" readingOrder="1"/>
    </xf>
    <xf numFmtId="0" fontId="15" fillId="3" borderId="0" xfId="0" applyFont="1" applyFill="1"/>
    <xf numFmtId="0" fontId="4" fillId="3" borderId="0" xfId="0" applyFont="1" applyFill="1" applyAlignment="1">
      <alignment horizontal="left" vertical="center"/>
    </xf>
    <xf numFmtId="0" fontId="45" fillId="3" borderId="14" xfId="2" applyFont="1" applyFill="1" applyBorder="1"/>
    <xf numFmtId="0" fontId="50" fillId="3" borderId="0" xfId="0" applyFont="1" applyFill="1" applyAlignment="1">
      <alignment horizontal="left" vertical="center" wrapText="1"/>
    </xf>
    <xf numFmtId="0" fontId="51" fillId="3" borderId="0" xfId="0" applyFont="1" applyFill="1" applyAlignment="1">
      <alignment horizontal="left" vertical="top" wrapText="1"/>
    </xf>
    <xf numFmtId="0" fontId="45" fillId="3" borderId="0" xfId="2" applyFont="1" applyFill="1"/>
    <xf numFmtId="0" fontId="45" fillId="3" borderId="15" xfId="2" applyFont="1" applyFill="1" applyBorder="1"/>
    <xf numFmtId="0" fontId="45" fillId="3" borderId="16" xfId="2" applyFont="1" applyFill="1" applyBorder="1"/>
    <xf numFmtId="0" fontId="45" fillId="3" borderId="18" xfId="2" applyFont="1" applyFill="1" applyBorder="1"/>
    <xf numFmtId="0" fontId="45" fillId="3" borderId="17" xfId="2" applyFont="1" applyFill="1" applyBorder="1"/>
    <xf numFmtId="0" fontId="49" fillId="3" borderId="0" xfId="2" applyFont="1" applyFill="1" applyAlignment="1">
      <alignment horizontal="left" vertical="center" wrapText="1"/>
    </xf>
    <xf numFmtId="0" fontId="45" fillId="3" borderId="0" xfId="2" applyFont="1" applyFill="1" applyAlignment="1">
      <alignment horizontal="left" vertical="center" wrapText="1"/>
    </xf>
    <xf numFmtId="0" fontId="45" fillId="3" borderId="0" xfId="2" quotePrefix="1" applyFont="1" applyFill="1" applyAlignment="1">
      <alignment horizontal="left" vertical="center" wrapText="1"/>
    </xf>
    <xf numFmtId="0" fontId="47" fillId="3" borderId="14" xfId="2" quotePrefix="1" applyFont="1" applyFill="1" applyBorder="1" applyAlignment="1">
      <alignment horizontal="left" vertical="top" wrapText="1"/>
    </xf>
    <xf numFmtId="0" fontId="48" fillId="3" borderId="0" xfId="2" quotePrefix="1" applyFont="1" applyFill="1" applyAlignment="1">
      <alignment horizontal="left" vertical="top" wrapText="1"/>
    </xf>
    <xf numFmtId="0" fontId="48" fillId="3" borderId="15" xfId="2" quotePrefix="1" applyFont="1" applyFill="1" applyBorder="1" applyAlignment="1">
      <alignment horizontal="left" vertical="top" wrapText="1"/>
    </xf>
    <xf numFmtId="0" fontId="58" fillId="2" borderId="2" xfId="0" applyFont="1" applyFill="1" applyBorder="1" applyAlignment="1">
      <alignment horizontal="center" vertical="center" textRotation="90"/>
    </xf>
    <xf numFmtId="0" fontId="55" fillId="0" borderId="2" xfId="0" applyFont="1" applyBorder="1" applyAlignment="1" applyProtection="1">
      <alignment horizontal="center" vertical="center" textRotation="90"/>
      <protection locked="0"/>
    </xf>
    <xf numFmtId="9" fontId="55" fillId="0" borderId="2" xfId="0" applyNumberFormat="1" applyFont="1" applyBorder="1" applyAlignment="1" applyProtection="1">
      <alignment horizontal="center" vertical="center"/>
      <protection hidden="1"/>
    </xf>
    <xf numFmtId="164" fontId="55" fillId="0" borderId="2" xfId="1" applyNumberFormat="1" applyFont="1" applyBorder="1" applyAlignment="1">
      <alignment horizontal="center" vertical="center"/>
    </xf>
    <xf numFmtId="0" fontId="58" fillId="0" borderId="2" xfId="0" applyFont="1" applyBorder="1" applyAlignment="1" applyProtection="1">
      <alignment horizontal="center" vertical="center" textRotation="90" wrapText="1"/>
      <protection hidden="1"/>
    </xf>
    <xf numFmtId="9" fontId="55" fillId="0" borderId="4" xfId="0" applyNumberFormat="1" applyFont="1" applyBorder="1" applyAlignment="1" applyProtection="1">
      <alignment horizontal="center" vertical="center"/>
      <protection hidden="1"/>
    </xf>
    <xf numFmtId="0" fontId="58" fillId="0" borderId="2" xfId="0" applyFont="1" applyBorder="1" applyAlignment="1" applyProtection="1">
      <alignment horizontal="center" vertical="center" textRotation="90"/>
      <protection hidden="1"/>
    </xf>
    <xf numFmtId="0" fontId="55" fillId="0" borderId="2" xfId="0" applyFont="1" applyBorder="1" applyAlignment="1">
      <alignment horizontal="center" vertical="center"/>
    </xf>
    <xf numFmtId="0" fontId="55" fillId="0" borderId="8" xfId="0" applyFont="1" applyBorder="1" applyAlignment="1">
      <alignment horizontal="center" vertical="center"/>
    </xf>
    <xf numFmtId="0" fontId="48" fillId="3" borderId="0" xfId="0" applyFont="1" applyFill="1" applyAlignment="1">
      <alignment vertical="center"/>
    </xf>
    <xf numFmtId="0" fontId="62" fillId="3" borderId="0" xfId="0" applyFont="1" applyFill="1" applyAlignment="1">
      <alignment horizontal="justify" vertical="center" wrapText="1" readingOrder="1"/>
    </xf>
    <xf numFmtId="0" fontId="15" fillId="3" borderId="0" xfId="0" applyFont="1" applyFill="1" applyAlignment="1">
      <alignment horizontal="left" vertical="center" wrapText="1"/>
    </xf>
    <xf numFmtId="0" fontId="15" fillId="0" borderId="0" xfId="0" applyFont="1" applyAlignment="1">
      <alignment horizontal="left" vertical="center" wrapText="1"/>
    </xf>
    <xf numFmtId="9" fontId="15" fillId="3" borderId="0" xfId="0" applyNumberFormat="1" applyFont="1" applyFill="1" applyAlignment="1">
      <alignment horizontal="center" vertical="center"/>
    </xf>
    <xf numFmtId="0" fontId="15" fillId="3" borderId="0" xfId="0" applyFont="1" applyFill="1" applyAlignment="1">
      <alignment horizontal="center" vertical="center" wrapText="1"/>
    </xf>
    <xf numFmtId="0" fontId="15" fillId="3" borderId="0" xfId="0" applyFont="1" applyFill="1" applyAlignment="1">
      <alignment horizontal="center" vertical="center"/>
    </xf>
    <xf numFmtId="0" fontId="15" fillId="0" borderId="0" xfId="0" applyFont="1" applyAlignment="1">
      <alignment horizontal="center" vertical="center"/>
    </xf>
    <xf numFmtId="0" fontId="0" fillId="3" borderId="0" xfId="0" applyFill="1" applyAlignment="1">
      <alignment horizontal="left" vertical="center" wrapText="1"/>
    </xf>
    <xf numFmtId="0" fontId="1" fillId="3" borderId="0" xfId="0" applyFont="1" applyFill="1" applyAlignment="1">
      <alignment horizontal="center" vertical="center" wrapText="1"/>
    </xf>
    <xf numFmtId="0" fontId="4" fillId="3" borderId="0" xfId="0" applyFont="1" applyFill="1" applyAlignment="1">
      <alignment horizontal="center" vertical="center" wrapText="1"/>
    </xf>
    <xf numFmtId="0" fontId="1" fillId="0" borderId="0" xfId="0" applyFont="1" applyAlignment="1">
      <alignment horizontal="center" vertical="center" wrapText="1"/>
    </xf>
    <xf numFmtId="49" fontId="0" fillId="3" borderId="0" xfId="0" applyNumberFormat="1" applyFill="1" applyAlignment="1">
      <alignment horizontal="center"/>
    </xf>
    <xf numFmtId="0" fontId="0" fillId="3" borderId="0" xfId="0" applyFill="1" applyAlignment="1">
      <alignment horizontal="center" vertical="center"/>
    </xf>
    <xf numFmtId="0" fontId="56" fillId="3" borderId="33" xfId="0" applyFont="1" applyFill="1" applyBorder="1" applyAlignment="1">
      <alignment horizontal="center" vertical="center" wrapText="1"/>
    </xf>
    <xf numFmtId="0" fontId="33" fillId="6" borderId="33" xfId="0" applyFont="1" applyFill="1" applyBorder="1" applyAlignment="1">
      <alignment horizontal="center" vertical="center" wrapText="1" readingOrder="1"/>
    </xf>
    <xf numFmtId="0" fontId="34" fillId="5" borderId="33" xfId="0" applyFont="1" applyFill="1" applyBorder="1" applyAlignment="1">
      <alignment horizontal="center" vertical="center" wrapText="1" readingOrder="1"/>
    </xf>
    <xf numFmtId="0" fontId="34" fillId="0" borderId="33" xfId="0" applyFont="1" applyBorder="1" applyAlignment="1">
      <alignment horizontal="center" vertical="center" wrapText="1" readingOrder="1"/>
    </xf>
    <xf numFmtId="0" fontId="34" fillId="0" borderId="33" xfId="0" applyFont="1" applyBorder="1" applyAlignment="1">
      <alignment horizontal="justify" vertical="center" wrapText="1" readingOrder="1"/>
    </xf>
    <xf numFmtId="0" fontId="0" fillId="3" borderId="33" xfId="0" applyFill="1" applyBorder="1" applyAlignment="1">
      <alignment horizontal="left" vertical="center" wrapText="1"/>
    </xf>
    <xf numFmtId="9" fontId="15" fillId="3" borderId="33" xfId="0" applyNumberFormat="1" applyFont="1" applyFill="1" applyBorder="1" applyAlignment="1">
      <alignment horizontal="center" vertical="center"/>
    </xf>
    <xf numFmtId="0" fontId="34" fillId="7" borderId="33" xfId="0" applyFont="1" applyFill="1" applyBorder="1" applyAlignment="1">
      <alignment horizontal="center" vertical="center" wrapText="1" readingOrder="1"/>
    </xf>
    <xf numFmtId="0" fontId="34" fillId="4" borderId="33" xfId="0" applyFont="1" applyFill="1" applyBorder="1" applyAlignment="1">
      <alignment horizontal="center" vertical="center" wrapText="1" readingOrder="1"/>
    </xf>
    <xf numFmtId="0" fontId="34" fillId="8" borderId="33" xfId="0" applyFont="1" applyFill="1" applyBorder="1" applyAlignment="1">
      <alignment horizontal="center" vertical="center" wrapText="1" readingOrder="1"/>
    </xf>
    <xf numFmtId="0" fontId="57" fillId="9" borderId="33" xfId="0" applyFont="1" applyFill="1" applyBorder="1" applyAlignment="1">
      <alignment horizontal="center" vertical="center" wrapText="1" readingOrder="1"/>
    </xf>
    <xf numFmtId="0" fontId="0" fillId="3" borderId="75" xfId="0" applyFill="1" applyBorder="1"/>
    <xf numFmtId="9" fontId="56" fillId="0" borderId="4" xfId="0" applyNumberFormat="1" applyFont="1" applyBorder="1" applyAlignment="1" applyProtection="1">
      <alignment horizontal="center" vertical="center"/>
      <protection hidden="1"/>
    </xf>
    <xf numFmtId="0" fontId="63" fillId="0" borderId="3" xfId="0" applyFont="1" applyBorder="1" applyAlignment="1" applyProtection="1">
      <alignment horizontal="center" vertical="center" wrapText="1"/>
      <protection locked="0"/>
    </xf>
    <xf numFmtId="9" fontId="64" fillId="0" borderId="31" xfId="0" applyNumberFormat="1" applyFont="1" applyBorder="1" applyAlignment="1" applyProtection="1">
      <alignment horizontal="center" vertical="center" wrapText="1"/>
      <protection hidden="1"/>
    </xf>
    <xf numFmtId="0" fontId="58" fillId="0" borderId="31" xfId="0" applyFont="1" applyBorder="1" applyAlignment="1" applyProtection="1">
      <alignment horizontal="center" vertical="center"/>
      <protection hidden="1"/>
    </xf>
    <xf numFmtId="0" fontId="55" fillId="0" borderId="10" xfId="0" applyFont="1" applyBorder="1" applyAlignment="1">
      <alignment horizontal="center" vertical="center"/>
    </xf>
    <xf numFmtId="0" fontId="55" fillId="0" borderId="10" xfId="0" applyFont="1" applyBorder="1" applyAlignment="1" applyProtection="1">
      <alignment horizontal="center" vertical="center"/>
      <protection hidden="1"/>
    </xf>
    <xf numFmtId="9" fontId="55" fillId="0" borderId="10" xfId="0" applyNumberFormat="1" applyFont="1" applyBorder="1" applyAlignment="1" applyProtection="1">
      <alignment horizontal="center" vertical="center"/>
      <protection hidden="1"/>
    </xf>
    <xf numFmtId="164" fontId="55" fillId="0" borderId="10" xfId="1" applyNumberFormat="1" applyFont="1" applyBorder="1" applyAlignment="1">
      <alignment horizontal="center" vertical="center"/>
    </xf>
    <xf numFmtId="0" fontId="58" fillId="0" borderId="10" xfId="0" applyFont="1" applyBorder="1" applyAlignment="1" applyProtection="1">
      <alignment horizontal="center" vertical="center" textRotation="90" wrapText="1"/>
      <protection hidden="1"/>
    </xf>
    <xf numFmtId="9" fontId="55" fillId="0" borderId="29" xfId="0" applyNumberFormat="1" applyFont="1" applyBorder="1" applyAlignment="1" applyProtection="1">
      <alignment horizontal="center" vertical="center"/>
      <protection hidden="1"/>
    </xf>
    <xf numFmtId="0" fontId="58" fillId="0" borderId="10" xfId="0" applyFont="1" applyBorder="1" applyAlignment="1" applyProtection="1">
      <alignment horizontal="center" vertical="center" textRotation="90"/>
      <protection hidden="1"/>
    </xf>
    <xf numFmtId="0" fontId="55" fillId="0" borderId="29" xfId="0" applyFont="1" applyBorder="1" applyAlignment="1" applyProtection="1">
      <alignment horizontal="center" vertical="center" textRotation="90"/>
      <protection locked="0"/>
    </xf>
    <xf numFmtId="0" fontId="1" fillId="0" borderId="0" xfId="0" applyFont="1" applyAlignment="1">
      <alignment horizontal="left" vertical="center"/>
    </xf>
    <xf numFmtId="0" fontId="58" fillId="2" borderId="4" xfId="0" applyFont="1" applyFill="1" applyBorder="1" applyAlignment="1">
      <alignment horizontal="center" vertical="center" textRotation="90" wrapText="1"/>
    </xf>
    <xf numFmtId="0" fontId="58" fillId="2" borderId="5" xfId="0" applyFont="1" applyFill="1" applyBorder="1" applyAlignment="1">
      <alignment horizontal="center" vertical="center" textRotation="90" wrapText="1"/>
    </xf>
    <xf numFmtId="0" fontId="55" fillId="0" borderId="0" xfId="0" applyFont="1" applyAlignment="1">
      <alignment horizontal="center" vertical="center"/>
    </xf>
    <xf numFmtId="0" fontId="7" fillId="3" borderId="6" xfId="0" applyFont="1" applyFill="1" applyBorder="1" applyAlignment="1" applyProtection="1">
      <alignment vertical="center" wrapText="1"/>
      <protection locked="0"/>
    </xf>
    <xf numFmtId="0" fontId="7" fillId="3" borderId="6" xfId="0" applyFont="1" applyFill="1" applyBorder="1" applyAlignment="1" applyProtection="1">
      <alignment vertical="center"/>
      <protection locked="0"/>
    </xf>
    <xf numFmtId="0" fontId="7" fillId="3" borderId="10" xfId="0" applyFont="1" applyFill="1" applyBorder="1" applyAlignment="1" applyProtection="1">
      <alignment vertical="center"/>
      <protection locked="0"/>
    </xf>
    <xf numFmtId="0" fontId="7" fillId="3" borderId="7" xfId="0" applyFont="1" applyFill="1" applyBorder="1" applyAlignment="1" applyProtection="1">
      <alignment vertical="center"/>
      <protection locked="0"/>
    </xf>
    <xf numFmtId="0" fontId="66" fillId="18" borderId="33" xfId="0" applyFont="1" applyFill="1" applyBorder="1" applyAlignment="1" applyProtection="1">
      <alignment horizontal="left" vertical="center" wrapText="1"/>
      <protection locked="0"/>
    </xf>
    <xf numFmtId="0" fontId="68" fillId="18" borderId="33" xfId="0" applyFont="1" applyFill="1" applyBorder="1" applyAlignment="1" applyProtection="1">
      <alignment horizontal="left" vertical="center" wrapText="1"/>
      <protection locked="0"/>
    </xf>
    <xf numFmtId="0" fontId="56" fillId="0" borderId="0" xfId="0" applyFont="1" applyAlignment="1" applyProtection="1">
      <alignment horizontal="center" vertical="center" wrapText="1"/>
      <protection locked="0"/>
    </xf>
    <xf numFmtId="0" fontId="55" fillId="0" borderId="0" xfId="0" applyFont="1" applyAlignment="1" applyProtection="1">
      <alignment horizontal="center" vertical="center" wrapText="1"/>
      <protection locked="0"/>
    </xf>
    <xf numFmtId="0" fontId="55" fillId="0" borderId="28" xfId="0" applyFont="1" applyBorder="1" applyAlignment="1" applyProtection="1">
      <alignment horizontal="center" vertical="center" textRotation="90"/>
      <protection locked="0"/>
    </xf>
    <xf numFmtId="0" fontId="59" fillId="0" borderId="33" xfId="0" applyFont="1" applyBorder="1" applyAlignment="1" applyProtection="1">
      <alignment horizontal="center" vertical="center" wrapText="1"/>
      <protection locked="0"/>
    </xf>
    <xf numFmtId="0" fontId="1" fillId="0" borderId="1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58" fillId="2" borderId="2" xfId="0" applyFont="1" applyFill="1" applyBorder="1" applyAlignment="1">
      <alignment vertical="center" textRotation="90" wrapText="1"/>
    </xf>
    <xf numFmtId="0" fontId="58" fillId="2" borderId="2" xfId="0" applyFont="1" applyFill="1" applyBorder="1" applyAlignment="1">
      <alignment vertical="center" wrapText="1"/>
    </xf>
    <xf numFmtId="0" fontId="58" fillId="2" borderId="4" xfId="0" applyFont="1" applyFill="1" applyBorder="1" applyAlignment="1">
      <alignment vertical="center" wrapText="1"/>
    </xf>
    <xf numFmtId="0" fontId="58" fillId="2" borderId="5" xfId="0" applyFont="1" applyFill="1" applyBorder="1" applyAlignment="1">
      <alignment vertical="center" wrapText="1"/>
    </xf>
    <xf numFmtId="0" fontId="58" fillId="2" borderId="9" xfId="0" applyFont="1" applyFill="1" applyBorder="1" applyAlignment="1">
      <alignment vertical="center" wrapText="1"/>
    </xf>
    <xf numFmtId="0" fontId="58" fillId="2" borderId="3" xfId="0" applyFont="1" applyFill="1" applyBorder="1" applyAlignment="1">
      <alignment vertical="center"/>
    </xf>
    <xf numFmtId="0" fontId="58" fillId="2" borderId="9" xfId="0" applyFont="1" applyFill="1" applyBorder="1" applyAlignment="1">
      <alignment vertical="center"/>
    </xf>
    <xf numFmtId="0" fontId="65" fillId="16" borderId="2" xfId="0" applyFont="1" applyFill="1" applyBorder="1" applyAlignment="1">
      <alignment vertical="center" wrapText="1"/>
    </xf>
    <xf numFmtId="0" fontId="65" fillId="16" borderId="4" xfId="0" applyFont="1" applyFill="1" applyBorder="1" applyAlignment="1">
      <alignment vertical="center" wrapText="1"/>
    </xf>
    <xf numFmtId="0" fontId="58" fillId="2" borderId="4" xfId="0" applyFont="1" applyFill="1" applyBorder="1" applyAlignment="1">
      <alignment vertical="center" textRotation="90" wrapText="1"/>
    </xf>
    <xf numFmtId="0" fontId="58" fillId="2" borderId="5" xfId="0" applyFont="1" applyFill="1" applyBorder="1" applyAlignment="1">
      <alignment vertical="center" textRotation="90" wrapText="1"/>
    </xf>
    <xf numFmtId="0" fontId="65" fillId="2" borderId="2" xfId="0" applyFont="1" applyFill="1" applyBorder="1" applyAlignment="1">
      <alignment vertical="center" wrapText="1"/>
    </xf>
    <xf numFmtId="0" fontId="65" fillId="2" borderId="4" xfId="0" applyFont="1" applyFill="1" applyBorder="1" applyAlignment="1">
      <alignment vertical="center" wrapText="1"/>
    </xf>
    <xf numFmtId="0" fontId="24" fillId="2" borderId="6" xfId="0" applyFont="1" applyFill="1" applyBorder="1" applyAlignment="1">
      <alignment vertical="center"/>
    </xf>
    <xf numFmtId="0" fontId="24" fillId="2" borderId="7" xfId="0" applyFont="1" applyFill="1" applyBorder="1" applyAlignment="1">
      <alignment vertical="center"/>
    </xf>
    <xf numFmtId="0" fontId="58" fillId="2" borderId="6" xfId="0" applyFont="1" applyFill="1" applyBorder="1" applyAlignment="1">
      <alignment vertical="center"/>
    </xf>
    <xf numFmtId="0" fontId="58" fillId="2" borderId="10" xfId="0" applyFont="1" applyFill="1" applyBorder="1" applyAlignment="1">
      <alignment vertical="center"/>
    </xf>
    <xf numFmtId="0" fontId="58" fillId="2" borderId="7" xfId="0" applyFont="1" applyFill="1" applyBorder="1" applyAlignment="1">
      <alignment vertical="center"/>
    </xf>
    <xf numFmtId="0" fontId="65" fillId="2" borderId="6" xfId="0" applyFont="1" applyFill="1" applyBorder="1" applyAlignment="1">
      <alignment vertical="center"/>
    </xf>
    <xf numFmtId="0" fontId="65" fillId="2" borderId="10" xfId="0" applyFont="1" applyFill="1" applyBorder="1" applyAlignment="1">
      <alignment vertical="center"/>
    </xf>
    <xf numFmtId="0" fontId="65" fillId="2" borderId="7" xfId="0" applyFont="1" applyFill="1" applyBorder="1" applyAlignment="1">
      <alignment vertical="center"/>
    </xf>
    <xf numFmtId="0" fontId="58" fillId="2" borderId="4" xfId="0" applyFont="1" applyFill="1" applyBorder="1" applyAlignment="1">
      <alignment vertical="center" textRotation="90"/>
    </xf>
    <xf numFmtId="0" fontId="58" fillId="2" borderId="5" xfId="0" applyFont="1" applyFill="1" applyBorder="1" applyAlignment="1">
      <alignment vertical="center" textRotation="90"/>
    </xf>
    <xf numFmtId="0" fontId="58" fillId="2" borderId="2" xfId="0" applyFont="1" applyFill="1" applyBorder="1" applyAlignment="1">
      <alignment vertical="center"/>
    </xf>
    <xf numFmtId="0" fontId="58" fillId="2" borderId="5" xfId="0" applyFont="1" applyFill="1" applyBorder="1" applyAlignment="1">
      <alignment vertical="center"/>
    </xf>
    <xf numFmtId="0" fontId="58" fillId="2" borderId="8" xfId="0" applyFont="1" applyFill="1" applyBorder="1" applyAlignment="1">
      <alignment vertical="center" wrapText="1"/>
    </xf>
    <xf numFmtId="0" fontId="25" fillId="2" borderId="28" xfId="0" applyFont="1" applyFill="1" applyBorder="1" applyAlignment="1">
      <alignment vertical="center"/>
    </xf>
    <xf numFmtId="0" fontId="25" fillId="2" borderId="29" xfId="0" applyFont="1" applyFill="1" applyBorder="1" applyAlignment="1">
      <alignment vertical="center"/>
    </xf>
    <xf numFmtId="0" fontId="25" fillId="2" borderId="30" xfId="0" applyFont="1" applyFill="1" applyBorder="1" applyAlignment="1">
      <alignment vertical="center"/>
    </xf>
    <xf numFmtId="0" fontId="25" fillId="2" borderId="3" xfId="0" applyFont="1" applyFill="1" applyBorder="1" applyAlignment="1">
      <alignment vertical="center"/>
    </xf>
    <xf numFmtId="0" fontId="25" fillId="2" borderId="31" xfId="0" applyFont="1" applyFill="1" applyBorder="1" applyAlignment="1">
      <alignment vertical="center"/>
    </xf>
    <xf numFmtId="0" fontId="25" fillId="2" borderId="32" xfId="0" applyFont="1" applyFill="1" applyBorder="1" applyAlignment="1">
      <alignment vertical="center"/>
    </xf>
    <xf numFmtId="0" fontId="55" fillId="0" borderId="76" xfId="0" applyFont="1" applyBorder="1" applyAlignment="1" applyProtection="1">
      <alignment horizontal="left" vertical="center"/>
      <protection hidden="1"/>
    </xf>
    <xf numFmtId="0" fontId="66" fillId="0" borderId="0" xfId="0" applyFont="1" applyAlignment="1">
      <alignment horizontal="left" vertical="center" wrapText="1"/>
    </xf>
    <xf numFmtId="0" fontId="55" fillId="17" borderId="10" xfId="0" applyFont="1" applyFill="1" applyBorder="1" applyAlignment="1" applyProtection="1">
      <alignment horizontal="center" vertical="center" textRotation="90"/>
      <protection locked="0"/>
    </xf>
    <xf numFmtId="9" fontId="61" fillId="0" borderId="5" xfId="0" applyNumberFormat="1" applyFont="1" applyBorder="1" applyAlignment="1" applyProtection="1">
      <alignment vertical="center" wrapText="1"/>
      <protection hidden="1"/>
    </xf>
    <xf numFmtId="9" fontId="63" fillId="0" borderId="5" xfId="0" applyNumberFormat="1" applyFont="1" applyBorder="1" applyAlignment="1" applyProtection="1">
      <alignment vertical="center" wrapText="1"/>
      <protection hidden="1"/>
    </xf>
    <xf numFmtId="0" fontId="56" fillId="0" borderId="8" xfId="0" applyFont="1" applyBorder="1" applyAlignment="1" applyProtection="1">
      <alignment vertical="center"/>
      <protection locked="0"/>
    </xf>
    <xf numFmtId="0" fontId="58" fillId="0" borderId="8" xfId="0" applyFont="1" applyBorder="1" applyAlignment="1" applyProtection="1">
      <alignment vertical="center" wrapText="1"/>
      <protection hidden="1"/>
    </xf>
    <xf numFmtId="9" fontId="55" fillId="0" borderId="8" xfId="0" applyNumberFormat="1" applyFont="1" applyBorder="1" applyAlignment="1" applyProtection="1">
      <alignment vertical="center" wrapText="1"/>
      <protection hidden="1"/>
    </xf>
    <xf numFmtId="9" fontId="63" fillId="0" borderId="5" xfId="0" applyNumberFormat="1" applyFont="1" applyBorder="1" applyAlignment="1" applyProtection="1">
      <alignment vertical="center" wrapText="1"/>
      <protection locked="0"/>
    </xf>
    <xf numFmtId="0" fontId="58" fillId="0" borderId="8" xfId="0" applyFont="1" applyBorder="1" applyAlignment="1" applyProtection="1">
      <alignment vertical="center"/>
      <protection hidden="1"/>
    </xf>
    <xf numFmtId="0" fontId="63" fillId="0" borderId="31" xfId="0" applyFont="1" applyBorder="1" applyAlignment="1" applyProtection="1">
      <alignment horizontal="center" vertical="center" wrapText="1"/>
      <protection locked="0"/>
    </xf>
    <xf numFmtId="14" fontId="63" fillId="0" borderId="31" xfId="0" applyNumberFormat="1" applyFont="1" applyBorder="1" applyAlignment="1" applyProtection="1">
      <alignment horizontal="center" vertical="center" wrapText="1"/>
      <protection locked="0"/>
    </xf>
    <xf numFmtId="0" fontId="67" fillId="18" borderId="33" xfId="0" applyFont="1" applyFill="1" applyBorder="1" applyAlignment="1" applyProtection="1">
      <alignment horizontal="left" vertical="center" wrapText="1"/>
      <protection locked="0"/>
    </xf>
    <xf numFmtId="0" fontId="56" fillId="0" borderId="33" xfId="0" applyFont="1" applyBorder="1" applyAlignment="1" applyProtection="1">
      <alignment horizontal="center" vertical="center"/>
      <protection hidden="1"/>
    </xf>
    <xf numFmtId="0" fontId="56" fillId="0" borderId="33" xfId="0" applyFont="1" applyBorder="1" applyAlignment="1" applyProtection="1">
      <alignment horizontal="center" vertical="center" textRotation="90"/>
      <protection locked="0"/>
    </xf>
    <xf numFmtId="9" fontId="56" fillId="0" borderId="33" xfId="0" applyNumberFormat="1" applyFont="1" applyBorder="1" applyAlignment="1" applyProtection="1">
      <alignment horizontal="center" vertical="center"/>
      <protection hidden="1"/>
    </xf>
    <xf numFmtId="164" fontId="56" fillId="0" borderId="33" xfId="1" applyNumberFormat="1" applyFont="1" applyBorder="1" applyAlignment="1">
      <alignment horizontal="center" vertical="center"/>
    </xf>
    <xf numFmtId="0" fontId="61" fillId="0" borderId="33" xfId="0" applyFont="1" applyBorder="1" applyAlignment="1" applyProtection="1">
      <alignment horizontal="center" vertical="center" textRotation="90" wrapText="1"/>
      <protection hidden="1"/>
    </xf>
    <xf numFmtId="0" fontId="61" fillId="0" borderId="33" xfId="0" applyFont="1" applyBorder="1" applyAlignment="1" applyProtection="1">
      <alignment horizontal="center" vertical="center" textRotation="90"/>
      <protection hidden="1"/>
    </xf>
    <xf numFmtId="14" fontId="56" fillId="0" borderId="33" xfId="0" applyNumberFormat="1" applyFont="1" applyBorder="1" applyAlignment="1" applyProtection="1">
      <alignment horizontal="center" vertical="center" wrapText="1"/>
      <protection locked="0"/>
    </xf>
    <xf numFmtId="0" fontId="55" fillId="0" borderId="33" xfId="0" applyFont="1" applyBorder="1" applyAlignment="1">
      <alignment horizontal="center" vertical="center"/>
    </xf>
    <xf numFmtId="0" fontId="1" fillId="0" borderId="6" xfId="0" applyFont="1" applyBorder="1" applyAlignment="1">
      <alignment vertical="center"/>
    </xf>
    <xf numFmtId="0" fontId="56" fillId="0" borderId="2" xfId="0" applyFont="1" applyBorder="1" applyAlignment="1" applyProtection="1">
      <alignment horizontal="center" vertical="center"/>
      <protection hidden="1"/>
    </xf>
    <xf numFmtId="0" fontId="69" fillId="0" borderId="33" xfId="0" applyFont="1" applyBorder="1" applyAlignment="1" applyProtection="1">
      <alignment horizontal="center" vertical="center" wrapText="1"/>
      <protection locked="0"/>
    </xf>
    <xf numFmtId="0" fontId="55" fillId="0" borderId="78" xfId="0" applyFont="1" applyBorder="1" applyAlignment="1">
      <alignment horizontal="center" vertical="center"/>
    </xf>
    <xf numFmtId="0" fontId="56" fillId="0" borderId="33" xfId="0" applyFont="1" applyBorder="1" applyAlignment="1" applyProtection="1">
      <alignment horizontal="center" vertical="center" wrapText="1"/>
      <protection locked="0"/>
    </xf>
    <xf numFmtId="0" fontId="56" fillId="0" borderId="33" xfId="0" applyFont="1" applyBorder="1" applyAlignment="1" applyProtection="1">
      <alignment horizontal="center" vertical="center"/>
      <protection locked="0"/>
    </xf>
    <xf numFmtId="9" fontId="63" fillId="0" borderId="31" xfId="0" applyNumberFormat="1" applyFont="1" applyBorder="1" applyAlignment="1" applyProtection="1">
      <alignment horizontal="center" vertical="center" wrapText="1"/>
      <protection hidden="1"/>
    </xf>
    <xf numFmtId="9" fontId="63" fillId="0" borderId="31" xfId="0" applyNumberFormat="1" applyFont="1" applyBorder="1" applyAlignment="1" applyProtection="1">
      <alignment horizontal="center" vertical="center" wrapText="1"/>
      <protection locked="0"/>
    </xf>
    <xf numFmtId="9" fontId="55" fillId="0" borderId="31" xfId="0" applyNumberFormat="1" applyFont="1" applyBorder="1" applyAlignment="1" applyProtection="1">
      <alignment horizontal="center" vertical="center" wrapText="1"/>
      <protection hidden="1"/>
    </xf>
    <xf numFmtId="0" fontId="58" fillId="0" borderId="31" xfId="0" applyFont="1" applyBorder="1" applyAlignment="1" applyProtection="1">
      <alignment horizontal="center" vertical="center" wrapText="1"/>
      <protection hidden="1"/>
    </xf>
    <xf numFmtId="0" fontId="55" fillId="0" borderId="31" xfId="0" applyFont="1" applyBorder="1" applyAlignment="1" applyProtection="1">
      <alignment horizontal="center" vertical="center"/>
      <protection locked="0"/>
    </xf>
    <xf numFmtId="0" fontId="55" fillId="0" borderId="31" xfId="0" applyFont="1" applyBorder="1" applyAlignment="1" applyProtection="1">
      <alignment horizontal="center" vertical="center" wrapText="1"/>
      <protection locked="0"/>
    </xf>
    <xf numFmtId="0" fontId="56" fillId="0" borderId="33" xfId="0" applyFont="1" applyBorder="1" applyAlignment="1">
      <alignment horizontal="center" vertical="center"/>
    </xf>
    <xf numFmtId="164" fontId="56" fillId="0" borderId="33" xfId="1" applyNumberFormat="1" applyFont="1" applyFill="1" applyBorder="1" applyAlignment="1">
      <alignment horizontal="center" vertical="center"/>
    </xf>
    <xf numFmtId="0" fontId="56" fillId="0" borderId="33" xfId="0" applyFont="1" applyBorder="1" applyAlignment="1" applyProtection="1">
      <alignment horizontal="center" vertical="center" textRotation="90" wrapText="1"/>
      <protection locked="0"/>
    </xf>
    <xf numFmtId="0" fontId="55" fillId="0" borderId="31" xfId="0" applyFont="1" applyBorder="1" applyAlignment="1">
      <alignment horizontal="center" vertical="center"/>
    </xf>
    <xf numFmtId="0" fontId="55" fillId="0" borderId="31" xfId="0" applyFont="1" applyBorder="1" applyAlignment="1">
      <alignment horizontal="center" vertical="center" wrapText="1"/>
    </xf>
    <xf numFmtId="0" fontId="55" fillId="0" borderId="31" xfId="0" applyFont="1" applyBorder="1" applyAlignment="1" applyProtection="1">
      <alignment horizontal="justify" vertical="center"/>
      <protection locked="0"/>
    </xf>
    <xf numFmtId="0" fontId="55" fillId="0" borderId="31" xfId="0" applyFont="1" applyBorder="1" applyAlignment="1" applyProtection="1">
      <alignment horizontal="center" vertical="center"/>
      <protection hidden="1"/>
    </xf>
    <xf numFmtId="0" fontId="55" fillId="0" borderId="31" xfId="0" applyFont="1" applyBorder="1" applyAlignment="1" applyProtection="1">
      <alignment horizontal="center" vertical="center" textRotation="90"/>
      <protection locked="0"/>
    </xf>
    <xf numFmtId="9" fontId="55" fillId="0" borderId="31" xfId="0" applyNumberFormat="1" applyFont="1" applyBorder="1" applyAlignment="1" applyProtection="1">
      <alignment horizontal="center" vertical="center"/>
      <protection hidden="1"/>
    </xf>
    <xf numFmtId="164" fontId="55" fillId="0" borderId="31" xfId="1" applyNumberFormat="1" applyFont="1" applyBorder="1" applyAlignment="1">
      <alignment horizontal="center" vertical="center"/>
    </xf>
    <xf numFmtId="0" fontId="58" fillId="0" borderId="31" xfId="0" applyFont="1" applyBorder="1" applyAlignment="1" applyProtection="1">
      <alignment horizontal="center" vertical="center" textRotation="90" wrapText="1"/>
      <protection hidden="1"/>
    </xf>
    <xf numFmtId="9" fontId="55" fillId="0" borderId="0" xfId="0" applyNumberFormat="1" applyFont="1" applyAlignment="1" applyProtection="1">
      <alignment horizontal="center" vertical="center"/>
      <protection hidden="1"/>
    </xf>
    <xf numFmtId="0" fontId="58" fillId="0" borderId="31" xfId="0" applyFont="1" applyBorder="1" applyAlignment="1" applyProtection="1">
      <alignment horizontal="center" vertical="center" textRotation="90"/>
      <protection hidden="1"/>
    </xf>
    <xf numFmtId="0" fontId="55" fillId="0" borderId="0" xfId="0" applyFont="1" applyAlignment="1" applyProtection="1">
      <alignment horizontal="center" vertical="center" textRotation="90"/>
      <protection locked="0"/>
    </xf>
    <xf numFmtId="14" fontId="55" fillId="0" borderId="31" xfId="0" applyNumberFormat="1" applyFont="1" applyBorder="1" applyAlignment="1" applyProtection="1">
      <alignment horizontal="center" vertical="center" wrapText="1"/>
      <protection locked="0"/>
    </xf>
    <xf numFmtId="0" fontId="55" fillId="0" borderId="32" xfId="0" applyFont="1" applyBorder="1" applyAlignment="1" applyProtection="1">
      <alignment horizontal="center" vertical="center"/>
      <protection locked="0"/>
    </xf>
    <xf numFmtId="0" fontId="56" fillId="0" borderId="33" xfId="0" applyFont="1" applyBorder="1" applyAlignment="1" applyProtection="1">
      <alignment horizontal="left" vertical="center" wrapText="1"/>
      <protection locked="0"/>
    </xf>
    <xf numFmtId="0" fontId="56" fillId="0" borderId="33" xfId="0" applyFont="1" applyBorder="1" applyAlignment="1" applyProtection="1">
      <alignment horizontal="justify" vertical="center"/>
      <protection locked="0"/>
    </xf>
    <xf numFmtId="0" fontId="56" fillId="0" borderId="33" xfId="0" applyFont="1" applyBorder="1" applyAlignment="1" applyProtection="1">
      <alignment vertical="center" wrapText="1"/>
      <protection locked="0"/>
    </xf>
    <xf numFmtId="9" fontId="56" fillId="0" borderId="33" xfId="0" applyNumberFormat="1" applyFont="1" applyBorder="1" applyAlignment="1" applyProtection="1">
      <alignment vertical="center" wrapText="1"/>
      <protection locked="0"/>
    </xf>
    <xf numFmtId="9" fontId="61" fillId="0" borderId="33" xfId="0" applyNumberFormat="1" applyFont="1" applyBorder="1" applyAlignment="1" applyProtection="1">
      <alignment vertical="center" wrapText="1"/>
      <protection hidden="1"/>
    </xf>
    <xf numFmtId="9" fontId="56" fillId="0" borderId="33" xfId="0" applyNumberFormat="1" applyFont="1" applyBorder="1" applyAlignment="1" applyProtection="1">
      <alignment vertical="center" wrapText="1"/>
      <protection hidden="1"/>
    </xf>
    <xf numFmtId="0" fontId="55" fillId="0" borderId="33" xfId="0" applyFont="1" applyBorder="1" applyAlignment="1" applyProtection="1">
      <alignment horizontal="center" vertical="center"/>
      <protection hidden="1"/>
    </xf>
    <xf numFmtId="0" fontId="55" fillId="0" borderId="33" xfId="0" applyFont="1" applyBorder="1" applyAlignment="1" applyProtection="1">
      <alignment horizontal="center" vertical="center" textRotation="90"/>
      <protection locked="0"/>
    </xf>
    <xf numFmtId="9" fontId="55" fillId="0" borderId="33" xfId="0" applyNumberFormat="1" applyFont="1" applyBorder="1" applyAlignment="1" applyProtection="1">
      <alignment horizontal="center" vertical="center"/>
      <protection hidden="1"/>
    </xf>
    <xf numFmtId="164" fontId="55" fillId="0" borderId="33" xfId="1" applyNumberFormat="1" applyFont="1" applyFill="1" applyBorder="1" applyAlignment="1">
      <alignment horizontal="center" vertical="center"/>
    </xf>
    <xf numFmtId="0" fontId="58" fillId="0" borderId="33" xfId="0" applyFont="1" applyBorder="1" applyAlignment="1" applyProtection="1">
      <alignment horizontal="center" vertical="center" textRotation="90" wrapText="1"/>
      <protection hidden="1"/>
    </xf>
    <xf numFmtId="0" fontId="58" fillId="0" borderId="33" xfId="0" applyFont="1" applyBorder="1" applyAlignment="1" applyProtection="1">
      <alignment horizontal="center" vertical="center" textRotation="90"/>
      <protection hidden="1"/>
    </xf>
    <xf numFmtId="164" fontId="55" fillId="0" borderId="33" xfId="1" applyNumberFormat="1" applyFont="1" applyBorder="1" applyAlignment="1">
      <alignment horizontal="center" vertical="center"/>
    </xf>
    <xf numFmtId="0" fontId="58" fillId="0" borderId="33" xfId="0" applyFont="1" applyBorder="1" applyAlignment="1">
      <alignment horizontal="center" vertical="center" textRotation="90"/>
    </xf>
    <xf numFmtId="0" fontId="70" fillId="3" borderId="78" xfId="0" applyFont="1" applyFill="1" applyBorder="1" applyAlignment="1" applyProtection="1">
      <alignment vertical="center"/>
      <protection locked="0"/>
    </xf>
    <xf numFmtId="0" fontId="70" fillId="3" borderId="82" xfId="0" applyFont="1" applyFill="1" applyBorder="1" applyAlignment="1" applyProtection="1">
      <alignment vertical="center"/>
      <protection locked="0"/>
    </xf>
    <xf numFmtId="0" fontId="70" fillId="3" borderId="79" xfId="0" applyFont="1" applyFill="1" applyBorder="1" applyAlignment="1" applyProtection="1">
      <alignment vertical="center"/>
      <protection locked="0"/>
    </xf>
    <xf numFmtId="0" fontId="59" fillId="3" borderId="0" xfId="0" applyFont="1" applyFill="1"/>
    <xf numFmtId="0" fontId="59" fillId="0" borderId="0" xfId="0" applyFont="1"/>
    <xf numFmtId="0" fontId="65" fillId="0" borderId="0" xfId="0" applyFont="1" applyAlignment="1">
      <alignment horizontal="center" vertical="center"/>
    </xf>
    <xf numFmtId="0" fontId="65" fillId="3" borderId="0" xfId="0" applyFont="1" applyFill="1" applyAlignment="1">
      <alignment horizontal="center" vertical="center"/>
    </xf>
    <xf numFmtId="0" fontId="65" fillId="2" borderId="0" xfId="0" applyFont="1" applyFill="1" applyAlignment="1">
      <alignment horizontal="center" vertical="center"/>
    </xf>
    <xf numFmtId="0" fontId="59" fillId="0" borderId="0" xfId="0" applyFont="1" applyAlignment="1">
      <alignment vertical="center" wrapText="1"/>
    </xf>
    <xf numFmtId="0" fontId="59" fillId="0" borderId="0" xfId="0" applyFont="1" applyAlignment="1">
      <alignment vertical="center"/>
    </xf>
    <xf numFmtId="0" fontId="59" fillId="0" borderId="2" xfId="0" applyFont="1" applyBorder="1" applyAlignment="1">
      <alignment horizontal="center" vertical="center"/>
    </xf>
    <xf numFmtId="0" fontId="59" fillId="0" borderId="0" xfId="0" applyFont="1" applyAlignment="1">
      <alignment horizontal="center" vertical="center"/>
    </xf>
    <xf numFmtId="0" fontId="59" fillId="0" borderId="0" xfId="0" applyFont="1" applyAlignment="1">
      <alignment horizontal="center"/>
    </xf>
    <xf numFmtId="0" fontId="65" fillId="0" borderId="0" xfId="0" applyFont="1" applyAlignment="1">
      <alignment horizontal="left" vertical="center"/>
    </xf>
    <xf numFmtId="0" fontId="56" fillId="0" borderId="79" xfId="0" applyFont="1" applyBorder="1" applyAlignment="1" applyProtection="1">
      <alignment horizontal="center" vertical="center" wrapText="1"/>
      <protection locked="0"/>
    </xf>
    <xf numFmtId="0" fontId="59" fillId="0" borderId="0" xfId="0" applyFont="1" applyAlignment="1">
      <alignment horizontal="left" vertical="center"/>
    </xf>
    <xf numFmtId="0" fontId="72" fillId="0" borderId="6" xfId="0" applyFont="1" applyBorder="1" applyAlignment="1">
      <alignment vertical="center"/>
    </xf>
    <xf numFmtId="0" fontId="72" fillId="0" borderId="10" xfId="0" applyFont="1" applyBorder="1" applyAlignment="1">
      <alignment vertical="center"/>
    </xf>
    <xf numFmtId="0" fontId="74" fillId="0" borderId="78" xfId="0" applyFont="1" applyBorder="1" applyAlignment="1" applyProtection="1">
      <alignment vertical="center"/>
      <protection locked="0"/>
    </xf>
    <xf numFmtId="0" fontId="74" fillId="0" borderId="82" xfId="0" applyFont="1" applyBorder="1" applyAlignment="1" applyProtection="1">
      <alignment vertical="center"/>
      <protection locked="0"/>
    </xf>
    <xf numFmtId="0" fontId="74" fillId="0" borderId="79" xfId="0" applyFont="1" applyBorder="1" applyAlignment="1" applyProtection="1">
      <alignment vertical="center"/>
      <protection locked="0"/>
    </xf>
    <xf numFmtId="0" fontId="59" fillId="3" borderId="0" xfId="0" applyFont="1" applyFill="1" applyAlignment="1">
      <alignment vertical="center"/>
    </xf>
    <xf numFmtId="0" fontId="59" fillId="0" borderId="5" xfId="0" applyFont="1" applyBorder="1" applyAlignment="1">
      <alignment horizontal="center" vertical="center"/>
    </xf>
    <xf numFmtId="0" fontId="59" fillId="0" borderId="0" xfId="0" applyFont="1" applyAlignment="1">
      <alignment wrapText="1"/>
    </xf>
    <xf numFmtId="0" fontId="69" fillId="3" borderId="0" xfId="0" applyFont="1" applyFill="1" applyAlignment="1">
      <alignment vertical="center"/>
    </xf>
    <xf numFmtId="0" fontId="69" fillId="3" borderId="0" xfId="0" applyFont="1" applyFill="1"/>
    <xf numFmtId="0" fontId="61" fillId="0" borderId="33" xfId="0" applyFont="1" applyBorder="1" applyAlignment="1">
      <alignment horizontal="center" vertical="center" textRotation="90"/>
    </xf>
    <xf numFmtId="0" fontId="55" fillId="3" borderId="0" xfId="0" applyFont="1" applyFill="1" applyAlignment="1">
      <alignment vertical="center"/>
    </xf>
    <xf numFmtId="0" fontId="55" fillId="0" borderId="0" xfId="0" applyFont="1" applyAlignment="1">
      <alignment vertical="center"/>
    </xf>
    <xf numFmtId="0" fontId="55" fillId="3" borderId="0" xfId="0" applyFont="1" applyFill="1"/>
    <xf numFmtId="0" fontId="55" fillId="0" borderId="0" xfId="0" applyFont="1"/>
    <xf numFmtId="0" fontId="65" fillId="0" borderId="33" xfId="0" applyFont="1" applyBorder="1" applyAlignment="1">
      <alignment horizontal="center" vertical="center" textRotation="90"/>
    </xf>
    <xf numFmtId="0" fontId="69" fillId="0" borderId="33" xfId="0" applyFont="1" applyBorder="1" applyAlignment="1">
      <alignment horizontal="center" vertical="center"/>
    </xf>
    <xf numFmtId="0" fontId="75" fillId="0" borderId="33" xfId="0" applyFont="1" applyBorder="1" applyAlignment="1" applyProtection="1">
      <alignment horizontal="center" vertical="center" wrapText="1"/>
      <protection hidden="1"/>
    </xf>
    <xf numFmtId="9" fontId="69" fillId="0" borderId="33" xfId="0" applyNumberFormat="1" applyFont="1" applyBorder="1" applyAlignment="1" applyProtection="1">
      <alignment horizontal="center" vertical="center" wrapText="1"/>
      <protection hidden="1"/>
    </xf>
    <xf numFmtId="0" fontId="75" fillId="0" borderId="33" xfId="0" applyFont="1" applyBorder="1" applyAlignment="1" applyProtection="1">
      <alignment horizontal="center" vertical="center"/>
      <protection hidden="1"/>
    </xf>
    <xf numFmtId="0" fontId="69" fillId="0" borderId="33" xfId="0" applyFont="1" applyBorder="1" applyAlignment="1" applyProtection="1">
      <alignment horizontal="center" vertical="center"/>
      <protection hidden="1"/>
    </xf>
    <xf numFmtId="0" fontId="69" fillId="0" borderId="33" xfId="0" applyFont="1" applyBorder="1" applyAlignment="1" applyProtection="1">
      <alignment horizontal="center" vertical="center" textRotation="90"/>
      <protection locked="0"/>
    </xf>
    <xf numFmtId="9" fontId="69" fillId="0" borderId="33" xfId="0" applyNumberFormat="1" applyFont="1" applyBorder="1" applyAlignment="1" applyProtection="1">
      <alignment horizontal="center" vertical="center"/>
      <protection hidden="1"/>
    </xf>
    <xf numFmtId="164" fontId="69" fillId="0" borderId="33" xfId="1" applyNumberFormat="1" applyFont="1" applyBorder="1" applyAlignment="1">
      <alignment horizontal="center" vertical="center"/>
    </xf>
    <xf numFmtId="0" fontId="75" fillId="0" borderId="33" xfId="0" applyFont="1" applyBorder="1" applyAlignment="1" applyProtection="1">
      <alignment horizontal="center" vertical="center" textRotation="90" wrapText="1"/>
      <protection hidden="1"/>
    </xf>
    <xf numFmtId="0" fontId="75" fillId="0" borderId="33" xfId="0" applyFont="1" applyBorder="1" applyAlignment="1" applyProtection="1">
      <alignment horizontal="center" vertical="center" textRotation="90"/>
      <protection hidden="1"/>
    </xf>
    <xf numFmtId="0" fontId="69" fillId="0" borderId="33" xfId="0" applyFont="1" applyBorder="1" applyAlignment="1" applyProtection="1">
      <alignment horizontal="center" vertical="center"/>
      <protection locked="0"/>
    </xf>
    <xf numFmtId="9" fontId="61" fillId="0" borderId="4" xfId="0" applyNumberFormat="1" applyFont="1" applyBorder="1" applyAlignment="1" applyProtection="1">
      <alignment horizontal="center" vertical="center" wrapText="1"/>
      <protection hidden="1"/>
    </xf>
    <xf numFmtId="0" fontId="56" fillId="0" borderId="4" xfId="0" applyFont="1" applyBorder="1" applyAlignment="1" applyProtection="1">
      <alignment horizontal="center" vertical="center"/>
      <protection locked="0"/>
    </xf>
    <xf numFmtId="0" fontId="56" fillId="0" borderId="2" xfId="0" applyFont="1" applyBorder="1" applyAlignment="1">
      <alignment horizontal="center" vertical="center"/>
    </xf>
    <xf numFmtId="0" fontId="56" fillId="3" borderId="33" xfId="0" applyFont="1" applyFill="1" applyBorder="1" applyAlignment="1">
      <alignment vertical="center" wrapText="1"/>
    </xf>
    <xf numFmtId="0" fontId="56" fillId="0" borderId="2" xfId="0" applyFont="1" applyBorder="1" applyAlignment="1" applyProtection="1">
      <alignment horizontal="center" vertical="center" textRotation="90"/>
      <protection locked="0"/>
    </xf>
    <xf numFmtId="9" fontId="56" fillId="0" borderId="2" xfId="0" applyNumberFormat="1" applyFont="1" applyBorder="1" applyAlignment="1" applyProtection="1">
      <alignment horizontal="center" vertical="center"/>
      <protection hidden="1"/>
    </xf>
    <xf numFmtId="164" fontId="56" fillId="0" borderId="2" xfId="1" applyNumberFormat="1" applyFont="1" applyBorder="1" applyAlignment="1">
      <alignment horizontal="center" vertical="center"/>
    </xf>
    <xf numFmtId="0" fontId="61" fillId="0" borderId="2" xfId="0" applyFont="1" applyBorder="1" applyAlignment="1" applyProtection="1">
      <alignment horizontal="center" vertical="center" textRotation="90" wrapText="1"/>
      <protection hidden="1"/>
    </xf>
    <xf numFmtId="0" fontId="61" fillId="0" borderId="2" xfId="0" applyFont="1" applyBorder="1" applyAlignment="1" applyProtection="1">
      <alignment horizontal="center" vertical="center" textRotation="90"/>
      <protection hidden="1"/>
    </xf>
    <xf numFmtId="0" fontId="56" fillId="0" borderId="28" xfId="0" applyFont="1" applyBorder="1" applyAlignment="1" applyProtection="1">
      <alignment horizontal="center" vertical="center" textRotation="90"/>
      <protection locked="0"/>
    </xf>
    <xf numFmtId="0" fontId="56" fillId="3" borderId="33" xfId="0" applyFont="1" applyFill="1" applyBorder="1" applyAlignment="1">
      <alignment horizontal="left" vertical="center" wrapText="1"/>
    </xf>
    <xf numFmtId="0" fontId="2" fillId="3" borderId="0" xfId="0" applyFont="1" applyFill="1" applyAlignment="1">
      <alignment vertical="center"/>
    </xf>
    <xf numFmtId="0" fontId="2" fillId="0" borderId="0" xfId="0" applyFont="1" applyAlignment="1">
      <alignment vertical="center"/>
    </xf>
    <xf numFmtId="0" fontId="56" fillId="0" borderId="8" xfId="0" applyFont="1" applyBorder="1" applyAlignment="1">
      <alignment horizontal="center" vertical="center"/>
    </xf>
    <xf numFmtId="0" fontId="56" fillId="0" borderId="33" xfId="0" applyFont="1" applyBorder="1" applyAlignment="1">
      <alignment horizontal="left" vertical="center" wrapText="1"/>
    </xf>
    <xf numFmtId="0" fontId="56" fillId="17" borderId="2" xfId="0" applyFont="1" applyFill="1" applyBorder="1" applyAlignment="1" applyProtection="1">
      <alignment horizontal="center" vertical="center" textRotation="90"/>
      <protection locked="0"/>
    </xf>
    <xf numFmtId="0" fontId="2" fillId="3" borderId="0" xfId="0" applyFont="1" applyFill="1"/>
    <xf numFmtId="0" fontId="2" fillId="0" borderId="0" xfId="0" applyFont="1"/>
    <xf numFmtId="0" fontId="56" fillId="0" borderId="3" xfId="0" applyFont="1" applyBorder="1" applyAlignment="1" applyProtection="1">
      <alignment horizontal="center" vertical="center" wrapText="1"/>
      <protection locked="0"/>
    </xf>
    <xf numFmtId="0" fontId="61" fillId="0" borderId="4" xfId="0" applyFont="1" applyBorder="1" applyAlignment="1" applyProtection="1">
      <alignment vertical="center" wrapText="1"/>
      <protection hidden="1"/>
    </xf>
    <xf numFmtId="9" fontId="56" fillId="0" borderId="4" xfId="0" applyNumberFormat="1" applyFont="1" applyBorder="1" applyAlignment="1" applyProtection="1">
      <alignment vertical="center" wrapText="1"/>
      <protection hidden="1"/>
    </xf>
    <xf numFmtId="9" fontId="56" fillId="0" borderId="4" xfId="0" applyNumberFormat="1" applyFont="1" applyBorder="1" applyAlignment="1" applyProtection="1">
      <alignment vertical="center" wrapText="1"/>
      <protection locked="0"/>
    </xf>
    <xf numFmtId="0" fontId="61" fillId="0" borderId="4" xfId="0" applyFont="1" applyBorder="1" applyAlignment="1" applyProtection="1">
      <alignment vertical="center"/>
      <protection hidden="1"/>
    </xf>
    <xf numFmtId="0" fontId="56" fillId="0" borderId="10" xfId="0" applyFont="1" applyBorder="1" applyAlignment="1">
      <alignment horizontal="center" vertical="center"/>
    </xf>
    <xf numFmtId="0" fontId="56" fillId="0" borderId="0" xfId="0" applyFont="1" applyAlignment="1">
      <alignment horizontal="left" vertical="center" wrapText="1"/>
    </xf>
    <xf numFmtId="164" fontId="56" fillId="0" borderId="2" xfId="1" applyNumberFormat="1" applyFont="1" applyFill="1" applyBorder="1" applyAlignment="1">
      <alignment horizontal="center" vertical="center"/>
    </xf>
    <xf numFmtId="0" fontId="56" fillId="0" borderId="4" xfId="0" applyFont="1" applyBorder="1" applyAlignment="1" applyProtection="1">
      <alignment horizontal="center" vertical="center" textRotation="90"/>
      <protection locked="0"/>
    </xf>
    <xf numFmtId="0" fontId="2" fillId="3" borderId="0" xfId="0" applyFont="1" applyFill="1" applyAlignment="1">
      <alignment horizontal="center" vertical="center" wrapText="1"/>
    </xf>
    <xf numFmtId="0" fontId="48" fillId="3" borderId="0" xfId="0" applyFont="1" applyFill="1" applyAlignment="1">
      <alignment horizontal="center" vertical="center"/>
    </xf>
    <xf numFmtId="0" fontId="56" fillId="0" borderId="4" xfId="0" applyFont="1" applyBorder="1" applyAlignment="1" applyProtection="1">
      <alignment horizontal="center" vertical="center" wrapText="1"/>
      <protection locked="0"/>
    </xf>
    <xf numFmtId="9" fontId="56" fillId="0" borderId="4" xfId="0" applyNumberFormat="1" applyFont="1" applyBorder="1" applyAlignment="1" applyProtection="1">
      <alignment horizontal="center" vertical="center" wrapText="1"/>
      <protection hidden="1"/>
    </xf>
    <xf numFmtId="0" fontId="61" fillId="0" borderId="4" xfId="0" applyFont="1" applyBorder="1" applyAlignment="1" applyProtection="1">
      <alignment horizontal="center" vertical="center" wrapText="1"/>
      <protection hidden="1"/>
    </xf>
    <xf numFmtId="0" fontId="61" fillId="0" borderId="4" xfId="0" applyFont="1" applyBorder="1" applyAlignment="1" applyProtection="1">
      <alignment horizontal="center" vertical="center"/>
      <protection hidden="1"/>
    </xf>
    <xf numFmtId="0" fontId="56" fillId="0" borderId="4" xfId="0" applyFont="1" applyBorder="1" applyAlignment="1">
      <alignment horizontal="center" vertical="center"/>
    </xf>
    <xf numFmtId="0" fontId="56" fillId="0" borderId="2" xfId="0" applyFont="1" applyBorder="1" applyAlignment="1" applyProtection="1">
      <alignment horizontal="left" vertical="center" wrapText="1"/>
      <protection locked="0"/>
    </xf>
    <xf numFmtId="0" fontId="56" fillId="0" borderId="2" xfId="0" applyFont="1" applyBorder="1" applyAlignment="1" applyProtection="1">
      <alignment horizontal="center" vertical="center" wrapText="1"/>
      <protection locked="0"/>
    </xf>
    <xf numFmtId="14" fontId="56" fillId="0" borderId="2" xfId="0" applyNumberFormat="1" applyFont="1" applyBorder="1" applyAlignment="1" applyProtection="1">
      <alignment horizontal="center" vertical="center" wrapText="1"/>
      <protection locked="0"/>
    </xf>
    <xf numFmtId="0" fontId="56" fillId="0" borderId="4" xfId="0" applyFont="1" applyBorder="1" applyAlignment="1">
      <alignment vertical="center"/>
    </xf>
    <xf numFmtId="0" fontId="56" fillId="0" borderId="4" xfId="0" applyFont="1" applyBorder="1" applyAlignment="1" applyProtection="1">
      <alignment vertical="center" wrapText="1"/>
      <protection locked="0"/>
    </xf>
    <xf numFmtId="9" fontId="61" fillId="0" borderId="4" xfId="0" applyNumberFormat="1" applyFont="1" applyBorder="1" applyAlignment="1" applyProtection="1">
      <alignment vertical="center" wrapText="1"/>
      <protection hidden="1"/>
    </xf>
    <xf numFmtId="0" fontId="69" fillId="0" borderId="33" xfId="0" applyFont="1" applyBorder="1" applyAlignment="1" applyProtection="1">
      <alignment horizontal="center" vertical="center" wrapText="1"/>
      <protection locked="0"/>
    </xf>
    <xf numFmtId="0" fontId="56" fillId="0" borderId="33" xfId="0" applyFont="1" applyBorder="1" applyAlignment="1" applyProtection="1">
      <alignment horizontal="center" vertical="center" wrapText="1"/>
      <protection locked="0"/>
    </xf>
    <xf numFmtId="0" fontId="55" fillId="0" borderId="2" xfId="0" applyFont="1" applyFill="1" applyBorder="1" applyAlignment="1">
      <alignment horizontal="center" vertical="center"/>
    </xf>
    <xf numFmtId="0" fontId="55" fillId="0" borderId="0" xfId="0" applyFont="1" applyFill="1" applyAlignment="1">
      <alignment horizontal="center" vertical="center"/>
    </xf>
    <xf numFmtId="0" fontId="67" fillId="0" borderId="33" xfId="0" applyFont="1" applyFill="1" applyBorder="1" applyAlignment="1" applyProtection="1">
      <alignment horizontal="left" vertical="center" wrapText="1"/>
      <protection locked="0"/>
    </xf>
    <xf numFmtId="0" fontId="1" fillId="0" borderId="0" xfId="0" applyFont="1" applyFill="1" applyAlignment="1">
      <alignment horizontal="center" vertical="center"/>
    </xf>
    <xf numFmtId="0" fontId="61" fillId="3" borderId="8" xfId="0" applyFont="1" applyFill="1" applyBorder="1" applyAlignment="1">
      <alignment horizontal="center" vertical="center" textRotation="90"/>
    </xf>
    <xf numFmtId="0" fontId="2" fillId="3" borderId="2" xfId="0" applyFont="1" applyFill="1" applyBorder="1" applyAlignment="1">
      <alignment horizontal="center" vertical="center"/>
    </xf>
    <xf numFmtId="0" fontId="56" fillId="3" borderId="2" xfId="0" applyFont="1" applyFill="1" applyBorder="1" applyAlignment="1" applyProtection="1">
      <alignment horizontal="justify" vertical="center" wrapText="1"/>
      <protection locked="0"/>
    </xf>
    <xf numFmtId="0" fontId="56" fillId="3" borderId="2" xfId="0" applyFont="1" applyFill="1" applyBorder="1" applyAlignment="1" applyProtection="1">
      <alignment horizontal="center" vertical="center"/>
      <protection hidden="1"/>
    </xf>
    <xf numFmtId="0" fontId="56" fillId="3" borderId="2" xfId="0" applyFont="1" applyFill="1" applyBorder="1" applyAlignment="1" applyProtection="1">
      <alignment horizontal="center" vertical="center" textRotation="90"/>
      <protection locked="0"/>
    </xf>
    <xf numFmtId="9" fontId="56" fillId="3" borderId="2" xfId="0" applyNumberFormat="1" applyFont="1" applyFill="1" applyBorder="1" applyAlignment="1" applyProtection="1">
      <alignment horizontal="center" vertical="center"/>
      <protection hidden="1"/>
    </xf>
    <xf numFmtId="9" fontId="56" fillId="3" borderId="2" xfId="1" applyFont="1" applyFill="1" applyBorder="1" applyAlignment="1">
      <alignment horizontal="center" vertical="center"/>
    </xf>
    <xf numFmtId="0" fontId="61" fillId="3" borderId="2" xfId="0" applyFont="1" applyFill="1" applyBorder="1" applyAlignment="1" applyProtection="1">
      <alignment horizontal="center" vertical="center" textRotation="90" wrapText="1"/>
      <protection hidden="1"/>
    </xf>
    <xf numFmtId="9" fontId="56" fillId="3" borderId="4" xfId="0" applyNumberFormat="1" applyFont="1" applyFill="1" applyBorder="1" applyAlignment="1" applyProtection="1">
      <alignment horizontal="center" vertical="center"/>
      <protection hidden="1"/>
    </xf>
    <xf numFmtId="0" fontId="61" fillId="3" borderId="2" xfId="0" applyFont="1" applyFill="1" applyBorder="1" applyAlignment="1" applyProtection="1">
      <alignment horizontal="center" vertical="center" textRotation="90"/>
      <protection hidden="1"/>
    </xf>
    <xf numFmtId="0" fontId="56" fillId="3" borderId="4" xfId="0" applyFont="1" applyFill="1" applyBorder="1" applyAlignment="1" applyProtection="1">
      <alignment horizontal="center" vertical="center" textRotation="90"/>
      <protection locked="0"/>
    </xf>
    <xf numFmtId="0" fontId="56" fillId="3" borderId="2" xfId="0" applyFont="1" applyFill="1" applyBorder="1" applyAlignment="1">
      <alignment horizontal="center" vertical="center" wrapText="1"/>
    </xf>
    <xf numFmtId="0" fontId="56" fillId="3" borderId="2" xfId="0" applyFont="1" applyFill="1" applyBorder="1" applyAlignment="1" applyProtection="1">
      <alignment horizontal="center" vertical="center" wrapText="1"/>
      <protection locked="0"/>
    </xf>
    <xf numFmtId="17" fontId="56" fillId="3" borderId="2" xfId="0" applyNumberFormat="1" applyFont="1" applyFill="1" applyBorder="1" applyAlignment="1" applyProtection="1">
      <alignment horizontal="center" vertical="center" wrapText="1"/>
      <protection locked="0"/>
    </xf>
    <xf numFmtId="164" fontId="56" fillId="3" borderId="2" xfId="1" applyNumberFormat="1" applyFont="1" applyFill="1" applyBorder="1" applyAlignment="1">
      <alignment horizontal="center" vertical="center"/>
    </xf>
    <xf numFmtId="14" fontId="56" fillId="3" borderId="2" xfId="0" applyNumberFormat="1" applyFont="1" applyFill="1" applyBorder="1" applyAlignment="1" applyProtection="1">
      <alignment horizontal="center" vertical="center" wrapText="1"/>
      <protection locked="0"/>
    </xf>
    <xf numFmtId="0" fontId="56" fillId="3" borderId="2" xfId="0" applyFont="1" applyFill="1" applyBorder="1" applyAlignment="1">
      <alignment horizontal="center" vertical="center"/>
    </xf>
    <xf numFmtId="0" fontId="56" fillId="3" borderId="2" xfId="0" applyFont="1" applyFill="1" applyBorder="1" applyAlignment="1" applyProtection="1">
      <alignment horizontal="left" vertical="center" wrapText="1"/>
      <protection locked="0"/>
    </xf>
    <xf numFmtId="14" fontId="56" fillId="3" borderId="2" xfId="0" applyNumberFormat="1" applyFont="1" applyFill="1" applyBorder="1" applyAlignment="1" applyProtection="1">
      <alignment horizontal="left" vertical="center" wrapText="1"/>
      <protection locked="0"/>
    </xf>
    <xf numFmtId="0" fontId="56" fillId="3" borderId="2" xfId="0" applyFont="1" applyFill="1" applyBorder="1" applyAlignment="1" applyProtection="1">
      <alignment horizontal="center" vertical="center"/>
      <protection locked="0"/>
    </xf>
    <xf numFmtId="0" fontId="56" fillId="3" borderId="33" xfId="0" applyFont="1" applyFill="1" applyBorder="1" applyAlignment="1" applyProtection="1">
      <alignment horizontal="left" vertical="center" wrapText="1"/>
      <protection locked="0"/>
    </xf>
    <xf numFmtId="0" fontId="2" fillId="3" borderId="4" xfId="0" applyFont="1" applyFill="1" applyBorder="1" applyAlignment="1">
      <alignment horizontal="center" vertical="center"/>
    </xf>
    <xf numFmtId="0" fontId="56" fillId="3" borderId="4" xfId="0" applyFont="1" applyFill="1" applyBorder="1" applyAlignment="1" applyProtection="1">
      <alignment vertical="center" wrapText="1"/>
      <protection locked="0"/>
    </xf>
    <xf numFmtId="0" fontId="56" fillId="3" borderId="4" xfId="0" applyFont="1" applyFill="1" applyBorder="1" applyAlignment="1" applyProtection="1">
      <alignment horizontal="center" vertical="center" wrapText="1"/>
      <protection locked="0"/>
    </xf>
    <xf numFmtId="0" fontId="56" fillId="3" borderId="4" xfId="0" applyFont="1" applyFill="1" applyBorder="1" applyAlignment="1" applyProtection="1">
      <alignment horizontal="center" vertical="center"/>
      <protection locked="0"/>
    </xf>
    <xf numFmtId="0" fontId="61" fillId="3" borderId="4" xfId="0" applyFont="1" applyFill="1" applyBorder="1" applyAlignment="1" applyProtection="1">
      <alignment horizontal="center" vertical="center" wrapText="1"/>
      <protection hidden="1"/>
    </xf>
    <xf numFmtId="9" fontId="56" fillId="3" borderId="4" xfId="0" applyNumberFormat="1" applyFont="1" applyFill="1" applyBorder="1" applyAlignment="1" applyProtection="1">
      <alignment horizontal="center" vertical="center" wrapText="1"/>
      <protection hidden="1"/>
    </xf>
    <xf numFmtId="9" fontId="56" fillId="3" borderId="4" xfId="0" applyNumberFormat="1" applyFont="1" applyFill="1" applyBorder="1" applyAlignment="1" applyProtection="1">
      <alignment vertical="center" wrapText="1"/>
      <protection locked="0"/>
    </xf>
    <xf numFmtId="9" fontId="61" fillId="3" borderId="4" xfId="0" applyNumberFormat="1" applyFont="1" applyFill="1" applyBorder="1" applyAlignment="1" applyProtection="1">
      <alignment vertical="center" wrapText="1"/>
      <protection hidden="1"/>
    </xf>
    <xf numFmtId="0" fontId="61" fillId="3" borderId="4" xfId="0" applyFont="1" applyFill="1" applyBorder="1" applyAlignment="1" applyProtection="1">
      <alignment horizontal="center" vertical="center"/>
      <protection hidden="1"/>
    </xf>
    <xf numFmtId="0" fontId="2" fillId="3" borderId="2" xfId="0" applyFont="1" applyFill="1" applyBorder="1" applyAlignment="1" applyProtection="1">
      <alignment horizontal="center" vertical="center"/>
      <protection hidden="1"/>
    </xf>
    <xf numFmtId="0" fontId="2" fillId="3" borderId="2" xfId="0" applyFont="1" applyFill="1" applyBorder="1" applyAlignment="1" applyProtection="1">
      <alignment horizontal="center" vertical="center" textRotation="90"/>
      <protection locked="0"/>
    </xf>
    <xf numFmtId="9" fontId="2" fillId="3" borderId="2" xfId="0" applyNumberFormat="1" applyFont="1" applyFill="1" applyBorder="1" applyAlignment="1" applyProtection="1">
      <alignment horizontal="center" vertical="center"/>
      <protection hidden="1"/>
    </xf>
    <xf numFmtId="164" fontId="2" fillId="3" borderId="2" xfId="1" applyNumberFormat="1" applyFont="1" applyFill="1" applyBorder="1" applyAlignment="1">
      <alignment horizontal="center" vertical="center"/>
    </xf>
    <xf numFmtId="0" fontId="48" fillId="3" borderId="2" xfId="0" applyFont="1" applyFill="1" applyBorder="1" applyAlignment="1" applyProtection="1">
      <alignment horizontal="center" vertical="center" textRotation="90" wrapText="1"/>
      <protection hidden="1"/>
    </xf>
    <xf numFmtId="9" fontId="2" fillId="3" borderId="4" xfId="0" applyNumberFormat="1" applyFont="1" applyFill="1" applyBorder="1" applyAlignment="1" applyProtection="1">
      <alignment horizontal="center" vertical="center"/>
      <protection hidden="1"/>
    </xf>
    <xf numFmtId="0" fontId="48" fillId="3" borderId="2" xfId="0" applyFont="1" applyFill="1" applyBorder="1" applyAlignment="1" applyProtection="1">
      <alignment horizontal="center" vertical="center" textRotation="90"/>
      <protection hidden="1"/>
    </xf>
    <xf numFmtId="0" fontId="2" fillId="3" borderId="4" xfId="0" applyFont="1" applyFill="1" applyBorder="1" applyAlignment="1" applyProtection="1">
      <alignment horizontal="center" vertical="center" textRotation="90"/>
      <protection locked="0"/>
    </xf>
    <xf numFmtId="0" fontId="2" fillId="3" borderId="2"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wrapText="1"/>
      <protection locked="0"/>
    </xf>
    <xf numFmtId="14" fontId="2" fillId="3" borderId="2" xfId="0" applyNumberFormat="1" applyFont="1" applyFill="1" applyBorder="1" applyAlignment="1" applyProtection="1">
      <alignment horizontal="center" vertical="center" wrapText="1"/>
      <protection locked="0"/>
    </xf>
    <xf numFmtId="0" fontId="56" fillId="14" borderId="31" xfId="0" applyFont="1" applyFill="1" applyBorder="1" applyAlignment="1" applyProtection="1">
      <alignment horizontal="left" vertical="center" wrapText="1"/>
      <protection locked="0"/>
    </xf>
    <xf numFmtId="0" fontId="55" fillId="14" borderId="31" xfId="0" applyFont="1" applyFill="1" applyBorder="1" applyAlignment="1" applyProtection="1">
      <alignment horizontal="left" vertical="center" wrapText="1"/>
      <protection locked="0"/>
    </xf>
    <xf numFmtId="0" fontId="56" fillId="0" borderId="2" xfId="0" applyFont="1" applyBorder="1" applyAlignment="1" applyProtection="1">
      <alignment horizontal="left" vertical="center"/>
      <protection hidden="1"/>
    </xf>
    <xf numFmtId="0" fontId="69" fillId="3" borderId="33" xfId="0" applyFont="1" applyFill="1" applyBorder="1" applyAlignment="1" applyProtection="1">
      <alignment horizontal="center" vertical="center" wrapText="1"/>
      <protection locked="0"/>
    </xf>
    <xf numFmtId="0" fontId="69" fillId="3" borderId="33" xfId="0" applyFont="1" applyFill="1" applyBorder="1" applyAlignment="1" applyProtection="1">
      <alignment horizontal="left" vertical="center" wrapText="1"/>
      <protection locked="0"/>
    </xf>
    <xf numFmtId="0" fontId="56" fillId="0" borderId="7" xfId="0" applyFont="1" applyBorder="1" applyAlignment="1" applyProtection="1">
      <alignment horizontal="left" vertical="center"/>
      <protection hidden="1"/>
    </xf>
    <xf numFmtId="0" fontId="56" fillId="0" borderId="10" xfId="0" applyFont="1" applyBorder="1" applyAlignment="1" applyProtection="1">
      <alignment horizontal="center" vertical="center" textRotation="90"/>
      <protection locked="0"/>
    </xf>
    <xf numFmtId="0" fontId="56" fillId="0" borderId="4" xfId="0" applyFont="1" applyBorder="1" applyAlignment="1" applyProtection="1">
      <alignment horizontal="left" vertical="center" wrapText="1"/>
      <protection locked="0"/>
    </xf>
    <xf numFmtId="0" fontId="66" fillId="0" borderId="33" xfId="0" applyFont="1" applyBorder="1" applyAlignment="1" applyProtection="1">
      <alignment horizontal="left" vertical="center" wrapText="1"/>
      <protection locked="0"/>
    </xf>
    <xf numFmtId="0" fontId="66" fillId="3" borderId="2" xfId="0" applyFont="1" applyFill="1" applyBorder="1" applyAlignment="1" applyProtection="1">
      <alignment horizontal="left" vertical="center" wrapText="1"/>
      <protection locked="0"/>
    </xf>
    <xf numFmtId="0" fontId="66" fillId="0" borderId="33" xfId="0" applyFont="1" applyBorder="1" applyAlignment="1">
      <alignment horizontal="center" vertical="center"/>
    </xf>
    <xf numFmtId="0" fontId="66" fillId="0" borderId="2" xfId="0" applyFont="1" applyBorder="1" applyAlignment="1" applyProtection="1">
      <alignment horizontal="left" vertical="center" wrapText="1"/>
      <protection locked="0"/>
    </xf>
    <xf numFmtId="0" fontId="56" fillId="4" borderId="33" xfId="0" applyFont="1" applyFill="1" applyBorder="1" applyAlignment="1" applyProtection="1">
      <alignment horizontal="center" vertical="center" wrapText="1"/>
      <protection locked="0"/>
    </xf>
    <xf numFmtId="0" fontId="56" fillId="4" borderId="79" xfId="0" applyFont="1" applyFill="1" applyBorder="1" applyAlignment="1" applyProtection="1">
      <alignment horizontal="center" vertical="center" wrapText="1"/>
      <protection locked="0"/>
    </xf>
    <xf numFmtId="0" fontId="56" fillId="4" borderId="33" xfId="0" applyFont="1" applyFill="1" applyBorder="1" applyAlignment="1">
      <alignment horizontal="left" vertical="center" wrapText="1"/>
    </xf>
    <xf numFmtId="0" fontId="61" fillId="0" borderId="4" xfId="0" applyFont="1" applyBorder="1" applyAlignment="1" applyProtection="1">
      <alignment horizontal="center" vertical="center"/>
      <protection hidden="1"/>
    </xf>
    <xf numFmtId="9" fontId="56" fillId="0" borderId="4" xfId="0" applyNumberFormat="1" applyFont="1" applyBorder="1" applyAlignment="1" applyProtection="1">
      <alignment horizontal="center" vertical="center" wrapText="1"/>
      <protection hidden="1"/>
    </xf>
    <xf numFmtId="9" fontId="61" fillId="0" borderId="4" xfId="0" applyNumberFormat="1" applyFont="1" applyBorder="1" applyAlignment="1" applyProtection="1">
      <alignment horizontal="center" vertical="center" wrapText="1"/>
      <protection hidden="1"/>
    </xf>
    <xf numFmtId="0" fontId="56" fillId="0" borderId="33" xfId="0" applyFont="1" applyBorder="1" applyAlignment="1" applyProtection="1">
      <alignment horizontal="center" vertical="center" wrapText="1"/>
      <protection locked="0"/>
    </xf>
    <xf numFmtId="0" fontId="46" fillId="14" borderId="48" xfId="2" applyFont="1" applyFill="1" applyBorder="1" applyAlignment="1">
      <alignment horizontal="center" vertical="center" wrapText="1"/>
    </xf>
    <xf numFmtId="0" fontId="46" fillId="14" borderId="49" xfId="2" applyFont="1" applyFill="1" applyBorder="1" applyAlignment="1">
      <alignment horizontal="center" vertical="center" wrapText="1"/>
    </xf>
    <xf numFmtId="0" fontId="46" fillId="14" borderId="50" xfId="2" applyFont="1" applyFill="1" applyBorder="1" applyAlignment="1">
      <alignment horizontal="center" vertical="center" wrapText="1"/>
    </xf>
    <xf numFmtId="0" fontId="45" fillId="0" borderId="14" xfId="2" quotePrefix="1" applyFont="1" applyBorder="1" applyAlignment="1">
      <alignment horizontal="left" vertical="center" wrapText="1"/>
    </xf>
    <xf numFmtId="0" fontId="45" fillId="0" borderId="0" xfId="2" quotePrefix="1" applyFont="1" applyAlignment="1">
      <alignment horizontal="left" vertical="center" wrapText="1"/>
    </xf>
    <xf numFmtId="0" fontId="45" fillId="0" borderId="15" xfId="2" quotePrefix="1" applyFont="1" applyBorder="1" applyAlignment="1">
      <alignment horizontal="left" vertical="center" wrapText="1"/>
    </xf>
    <xf numFmtId="0" fontId="45" fillId="0" borderId="68" xfId="2" quotePrefix="1" applyFont="1" applyBorder="1" applyAlignment="1">
      <alignment horizontal="left" vertical="center" wrapText="1"/>
    </xf>
    <xf numFmtId="0" fontId="45" fillId="0" borderId="69" xfId="2" quotePrefix="1" applyFont="1" applyBorder="1" applyAlignment="1">
      <alignment horizontal="left" vertical="center" wrapText="1"/>
    </xf>
    <xf numFmtId="0" fontId="45" fillId="0" borderId="70" xfId="2" quotePrefix="1" applyFont="1" applyBorder="1" applyAlignment="1">
      <alignment horizontal="left" vertical="center" wrapText="1"/>
    </xf>
    <xf numFmtId="0" fontId="47" fillId="3" borderId="51" xfId="2" quotePrefix="1" applyFont="1" applyFill="1" applyBorder="1" applyAlignment="1">
      <alignment horizontal="left" vertical="top" wrapText="1"/>
    </xf>
    <xf numFmtId="0" fontId="48" fillId="3" borderId="52" xfId="2" quotePrefix="1" applyFont="1" applyFill="1" applyBorder="1" applyAlignment="1">
      <alignment horizontal="left" vertical="top" wrapText="1"/>
    </xf>
    <xf numFmtId="0" fontId="48" fillId="3" borderId="53" xfId="2" quotePrefix="1" applyFont="1" applyFill="1" applyBorder="1" applyAlignment="1">
      <alignment horizontal="left" vertical="top" wrapText="1"/>
    </xf>
    <xf numFmtId="0" fontId="45" fillId="0" borderId="14" xfId="2" quotePrefix="1" applyFont="1" applyBorder="1" applyAlignment="1">
      <alignment horizontal="left" vertical="top" wrapText="1"/>
    </xf>
    <xf numFmtId="0" fontId="45" fillId="0" borderId="0" xfId="2" quotePrefix="1" applyFont="1" applyAlignment="1">
      <alignment horizontal="left" vertical="top" wrapText="1"/>
    </xf>
    <xf numFmtId="0" fontId="45" fillId="0" borderId="15" xfId="2" quotePrefix="1" applyFont="1" applyBorder="1" applyAlignment="1">
      <alignment horizontal="left" vertical="top" wrapText="1"/>
    </xf>
    <xf numFmtId="0" fontId="50" fillId="14" borderId="54" xfId="3" applyFont="1" applyFill="1" applyBorder="1" applyAlignment="1">
      <alignment horizontal="center" vertical="center" wrapText="1"/>
    </xf>
    <xf numFmtId="0" fontId="50" fillId="14" borderId="55" xfId="3" applyFont="1" applyFill="1" applyBorder="1" applyAlignment="1">
      <alignment horizontal="center" vertical="center" wrapText="1"/>
    </xf>
    <xf numFmtId="0" fontId="50" fillId="14" borderId="56" xfId="2" applyFont="1" applyFill="1" applyBorder="1" applyAlignment="1">
      <alignment horizontal="center" vertical="center"/>
    </xf>
    <xf numFmtId="0" fontId="50"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50" fillId="3" borderId="58" xfId="3" applyFont="1" applyFill="1" applyBorder="1" applyAlignment="1">
      <alignment horizontal="left" vertical="top" wrapText="1" readingOrder="1"/>
    </xf>
    <xf numFmtId="0" fontId="50" fillId="3" borderId="59" xfId="3" applyFont="1" applyFill="1" applyBorder="1" applyAlignment="1">
      <alignment horizontal="left" vertical="top" wrapText="1" readingOrder="1"/>
    </xf>
    <xf numFmtId="0" fontId="51" fillId="3" borderId="60" xfId="2" applyFont="1" applyFill="1" applyBorder="1" applyAlignment="1">
      <alignment horizontal="justify" vertical="center" wrapText="1"/>
    </xf>
    <xf numFmtId="0" fontId="51" fillId="3" borderId="61" xfId="2" applyFont="1" applyFill="1" applyBorder="1" applyAlignment="1">
      <alignment horizontal="justify" vertical="center" wrapText="1"/>
    </xf>
    <xf numFmtId="0" fontId="50" fillId="3" borderId="62" xfId="0" applyFont="1" applyFill="1" applyBorder="1" applyAlignment="1">
      <alignment horizontal="left" vertical="center" wrapText="1"/>
    </xf>
    <xf numFmtId="0" fontId="50" fillId="3" borderId="63" xfId="0" applyFont="1" applyFill="1" applyBorder="1" applyAlignment="1">
      <alignment horizontal="left" vertical="center" wrapText="1"/>
    </xf>
    <xf numFmtId="0" fontId="51" fillId="3" borderId="64" xfId="2" applyFont="1" applyFill="1" applyBorder="1" applyAlignment="1">
      <alignment horizontal="justify" vertical="center" wrapText="1"/>
    </xf>
    <xf numFmtId="0" fontId="51" fillId="3" borderId="65" xfId="2" applyFont="1" applyFill="1" applyBorder="1" applyAlignment="1">
      <alignment horizontal="justify" vertical="center" wrapText="1"/>
    </xf>
    <xf numFmtId="0" fontId="45" fillId="3" borderId="14" xfId="2" applyFont="1" applyFill="1" applyBorder="1" applyAlignment="1">
      <alignment horizontal="left" vertical="top" wrapText="1"/>
    </xf>
    <xf numFmtId="0" fontId="45" fillId="3" borderId="0" xfId="2" applyFont="1" applyFill="1" applyAlignment="1">
      <alignment horizontal="left" vertical="top" wrapText="1"/>
    </xf>
    <xf numFmtId="0" fontId="45" fillId="3" borderId="15" xfId="2" applyFont="1" applyFill="1" applyBorder="1" applyAlignment="1">
      <alignment horizontal="left" vertical="top" wrapText="1"/>
    </xf>
    <xf numFmtId="0" fontId="50" fillId="3" borderId="71" xfId="0" applyFont="1" applyFill="1" applyBorder="1" applyAlignment="1">
      <alignment horizontal="left" vertical="center" wrapText="1"/>
    </xf>
    <xf numFmtId="0" fontId="50" fillId="3" borderId="72" xfId="0" applyFont="1" applyFill="1" applyBorder="1" applyAlignment="1">
      <alignment horizontal="left" vertical="center" wrapText="1"/>
    </xf>
    <xf numFmtId="0" fontId="50" fillId="3" borderId="73" xfId="0" applyFont="1" applyFill="1" applyBorder="1" applyAlignment="1">
      <alignment horizontal="left" vertical="center" wrapText="1"/>
    </xf>
    <xf numFmtId="0" fontId="50" fillId="3" borderId="74" xfId="0" applyFont="1" applyFill="1" applyBorder="1" applyAlignment="1">
      <alignment horizontal="left" vertical="center" wrapText="1"/>
    </xf>
    <xf numFmtId="0" fontId="51" fillId="3" borderId="66" xfId="0" applyFont="1" applyFill="1" applyBorder="1" applyAlignment="1">
      <alignment horizontal="justify" vertical="center" wrapText="1"/>
    </xf>
    <xf numFmtId="0" fontId="51" fillId="3" borderId="67" xfId="0" applyFont="1" applyFill="1" applyBorder="1" applyAlignment="1">
      <alignment horizontal="justify" vertical="center" wrapText="1"/>
    </xf>
    <xf numFmtId="0" fontId="24" fillId="0" borderId="0" xfId="0" applyFont="1" applyAlignment="1">
      <alignment horizontal="center" vertical="center"/>
    </xf>
    <xf numFmtId="0" fontId="41" fillId="0" borderId="0" xfId="0" applyFont="1" applyAlignment="1">
      <alignment horizontal="center" vertical="center"/>
    </xf>
    <xf numFmtId="0" fontId="36" fillId="15" borderId="35" xfId="0" applyFont="1" applyFill="1" applyBorder="1" applyAlignment="1">
      <alignment horizontal="center" vertical="center" wrapText="1" readingOrder="1"/>
    </xf>
    <xf numFmtId="0" fontId="36" fillId="15" borderId="36" xfId="0" applyFont="1" applyFill="1" applyBorder="1" applyAlignment="1">
      <alignment horizontal="center" vertical="center" wrapText="1" readingOrder="1"/>
    </xf>
    <xf numFmtId="0" fontId="36" fillId="15" borderId="47" xfId="0" applyFont="1" applyFill="1" applyBorder="1" applyAlignment="1">
      <alignment horizontal="center" vertical="center" wrapText="1" readingOrder="1"/>
    </xf>
    <xf numFmtId="0" fontId="31" fillId="3" borderId="0" xfId="0" applyFont="1" applyFill="1" applyAlignment="1">
      <alignment horizontal="justify" vertical="center" wrapText="1"/>
    </xf>
    <xf numFmtId="0" fontId="33" fillId="15" borderId="44" xfId="0" applyFont="1" applyFill="1" applyBorder="1" applyAlignment="1">
      <alignment horizontal="center" vertical="center" wrapText="1" readingOrder="1"/>
    </xf>
    <xf numFmtId="0" fontId="33" fillId="15" borderId="45" xfId="0" applyFont="1" applyFill="1" applyBorder="1" applyAlignment="1">
      <alignment horizontal="center" vertical="center" wrapText="1" readingOrder="1"/>
    </xf>
    <xf numFmtId="0" fontId="33" fillId="3" borderId="42" xfId="0" applyFont="1" applyFill="1" applyBorder="1" applyAlignment="1">
      <alignment horizontal="center" vertical="center" wrapText="1" readingOrder="1"/>
    </xf>
    <xf numFmtId="0" fontId="33" fillId="3" borderId="37" xfId="0" applyFont="1" applyFill="1" applyBorder="1" applyAlignment="1">
      <alignment horizontal="center" vertical="center" wrapText="1" readingOrder="1"/>
    </xf>
    <xf numFmtId="0" fontId="33" fillId="3" borderId="34" xfId="0" applyFont="1" applyFill="1" applyBorder="1" applyAlignment="1">
      <alignment horizontal="center" vertical="center" wrapText="1" readingOrder="1"/>
    </xf>
    <xf numFmtId="0" fontId="33" fillId="3" borderId="33" xfId="0" applyFont="1" applyFill="1" applyBorder="1" applyAlignment="1">
      <alignment horizontal="center" vertical="center" wrapText="1" readingOrder="1"/>
    </xf>
    <xf numFmtId="0" fontId="33" fillId="3" borderId="39" xfId="0" applyFont="1" applyFill="1" applyBorder="1" applyAlignment="1">
      <alignment horizontal="center" vertical="center" wrapText="1" readingOrder="1"/>
    </xf>
    <xf numFmtId="0" fontId="33" fillId="3" borderId="40" xfId="0" applyFont="1" applyFill="1" applyBorder="1" applyAlignment="1">
      <alignment horizontal="center" vertical="center" wrapText="1" readingOrder="1"/>
    </xf>
    <xf numFmtId="0" fontId="25" fillId="2" borderId="28" xfId="0" applyFont="1" applyFill="1" applyBorder="1" applyAlignment="1">
      <alignment horizontal="center" vertical="center"/>
    </xf>
    <xf numFmtId="0" fontId="25" fillId="2" borderId="29" xfId="0" applyFont="1" applyFill="1" applyBorder="1" applyAlignment="1">
      <alignment horizontal="center" vertical="center"/>
    </xf>
    <xf numFmtId="0" fontId="25" fillId="2" borderId="30"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31" xfId="0" applyFont="1" applyFill="1" applyBorder="1" applyAlignment="1">
      <alignment horizontal="center" vertical="center"/>
    </xf>
    <xf numFmtId="0" fontId="25" fillId="2" borderId="32" xfId="0" applyFont="1" applyFill="1" applyBorder="1" applyAlignment="1">
      <alignment horizontal="center" vertical="center"/>
    </xf>
    <xf numFmtId="0" fontId="24" fillId="2" borderId="6" xfId="0" applyFont="1" applyFill="1" applyBorder="1" applyAlignment="1">
      <alignment horizontal="left" vertical="center"/>
    </xf>
    <xf numFmtId="0" fontId="24" fillId="2" borderId="7" xfId="0" applyFont="1" applyFill="1" applyBorder="1" applyAlignment="1">
      <alignment horizontal="left" vertical="center"/>
    </xf>
    <xf numFmtId="0" fontId="7" fillId="3" borderId="6" xfId="0" applyFont="1" applyFill="1" applyBorder="1" applyAlignment="1" applyProtection="1">
      <alignment horizontal="left" vertical="center"/>
      <protection locked="0"/>
    </xf>
    <xf numFmtId="0" fontId="7" fillId="3" borderId="10" xfId="0" applyFont="1" applyFill="1" applyBorder="1" applyAlignment="1" applyProtection="1">
      <alignment horizontal="left" vertical="center"/>
      <protection locked="0"/>
    </xf>
    <xf numFmtId="0" fontId="7" fillId="3" borderId="7" xfId="0" applyFont="1" applyFill="1" applyBorder="1" applyAlignment="1" applyProtection="1">
      <alignment horizontal="left" vertical="center"/>
      <protection locked="0"/>
    </xf>
    <xf numFmtId="0" fontId="1" fillId="3" borderId="0" xfId="0" applyFont="1" applyFill="1" applyAlignment="1">
      <alignment horizontal="left" vertical="center"/>
    </xf>
    <xf numFmtId="0" fontId="7" fillId="3" borderId="6" xfId="0" applyFont="1" applyFill="1" applyBorder="1" applyAlignment="1" applyProtection="1">
      <alignment horizontal="left" vertical="center" wrapText="1"/>
      <protection locked="0"/>
    </xf>
    <xf numFmtId="0" fontId="58" fillId="2" borderId="6" xfId="0" applyFont="1" applyFill="1" applyBorder="1" applyAlignment="1">
      <alignment horizontal="center" vertical="center"/>
    </xf>
    <xf numFmtId="0" fontId="58" fillId="2" borderId="10" xfId="0" applyFont="1" applyFill="1" applyBorder="1" applyAlignment="1">
      <alignment horizontal="center" vertical="center"/>
    </xf>
    <xf numFmtId="0" fontId="58" fillId="2" borderId="7" xfId="0" applyFont="1" applyFill="1" applyBorder="1" applyAlignment="1">
      <alignment horizontal="center" vertical="center"/>
    </xf>
    <xf numFmtId="0" fontId="58" fillId="2" borderId="4" xfId="0" applyFont="1" applyFill="1" applyBorder="1" applyAlignment="1">
      <alignment horizontal="center" vertical="center" textRotation="90" wrapText="1"/>
    </xf>
    <xf numFmtId="0" fontId="58" fillId="2" borderId="5" xfId="0" applyFont="1" applyFill="1" applyBorder="1" applyAlignment="1">
      <alignment horizontal="center" vertical="center" textRotation="90" wrapText="1"/>
    </xf>
    <xf numFmtId="0" fontId="58" fillId="2" borderId="4" xfId="0" applyFont="1" applyFill="1" applyBorder="1" applyAlignment="1">
      <alignment horizontal="center" vertical="center" textRotation="90"/>
    </xf>
    <xf numFmtId="0" fontId="58" fillId="2" borderId="5" xfId="0" applyFont="1" applyFill="1" applyBorder="1" applyAlignment="1">
      <alignment horizontal="center" vertical="center" textRotation="90"/>
    </xf>
    <xf numFmtId="0" fontId="58" fillId="2" borderId="2" xfId="0" applyFont="1" applyFill="1" applyBorder="1" applyAlignment="1">
      <alignment horizontal="center" vertical="center"/>
    </xf>
    <xf numFmtId="0" fontId="58" fillId="2" borderId="5" xfId="0" applyFont="1" applyFill="1" applyBorder="1" applyAlignment="1">
      <alignment horizontal="center" vertical="center" wrapText="1"/>
    </xf>
    <xf numFmtId="0" fontId="58" fillId="2" borderId="2" xfId="0" applyFont="1" applyFill="1" applyBorder="1" applyAlignment="1">
      <alignment horizontal="center" vertical="center" wrapText="1"/>
    </xf>
    <xf numFmtId="0" fontId="58" fillId="2" borderId="5" xfId="0" applyFont="1" applyFill="1" applyBorder="1" applyAlignment="1">
      <alignment horizontal="center" vertical="center"/>
    </xf>
    <xf numFmtId="0" fontId="58" fillId="16" borderId="2" xfId="0" applyFont="1" applyFill="1" applyBorder="1" applyAlignment="1">
      <alignment horizontal="center" vertical="center" wrapText="1"/>
    </xf>
    <xf numFmtId="0" fontId="58" fillId="2" borderId="2" xfId="0" applyFont="1" applyFill="1" applyBorder="1" applyAlignment="1">
      <alignment horizontal="center" vertical="center" textRotation="90" wrapText="1"/>
    </xf>
    <xf numFmtId="0" fontId="58" fillId="2" borderId="4" xfId="0" applyFont="1" applyFill="1" applyBorder="1" applyAlignment="1">
      <alignment horizontal="center" vertical="center" wrapText="1"/>
    </xf>
    <xf numFmtId="0" fontId="7" fillId="3" borderId="10" xfId="0" applyFont="1" applyFill="1" applyBorder="1" applyAlignment="1" applyProtection="1">
      <alignment horizontal="left" vertical="center" wrapText="1"/>
      <protection locked="0"/>
    </xf>
    <xf numFmtId="0" fontId="7" fillId="3" borderId="7" xfId="0" applyFont="1" applyFill="1" applyBorder="1" applyAlignment="1" applyProtection="1">
      <alignment horizontal="left" vertical="center" wrapText="1"/>
      <protection locked="0"/>
    </xf>
    <xf numFmtId="0" fontId="58" fillId="2" borderId="8" xfId="0" applyFont="1" applyFill="1" applyBorder="1" applyAlignment="1">
      <alignment horizontal="center" vertical="center" wrapText="1"/>
    </xf>
    <xf numFmtId="0" fontId="58" fillId="2" borderId="9" xfId="0" applyFont="1" applyFill="1" applyBorder="1" applyAlignment="1">
      <alignment horizontal="center" vertical="center"/>
    </xf>
    <xf numFmtId="0" fontId="58" fillId="2" borderId="3" xfId="0" applyFont="1" applyFill="1" applyBorder="1" applyAlignment="1">
      <alignment horizontal="center" vertical="center"/>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2" fillId="3" borderId="8" xfId="0" applyFont="1" applyFill="1" applyBorder="1" applyAlignment="1">
      <alignment horizontal="center" vertical="center"/>
    </xf>
    <xf numFmtId="0" fontId="58" fillId="2" borderId="9" xfId="0" applyFont="1" applyFill="1" applyBorder="1" applyAlignment="1">
      <alignment horizontal="center" vertical="center" wrapText="1"/>
    </xf>
    <xf numFmtId="0" fontId="61" fillId="3" borderId="4" xfId="0" applyFont="1" applyFill="1" applyBorder="1" applyAlignment="1" applyProtection="1">
      <alignment horizontal="center" vertical="center"/>
      <protection hidden="1"/>
    </xf>
    <xf numFmtId="0" fontId="61" fillId="3" borderId="8" xfId="0" applyFont="1" applyFill="1" applyBorder="1" applyAlignment="1" applyProtection="1">
      <alignment horizontal="center" vertical="center"/>
      <protection hidden="1"/>
    </xf>
    <xf numFmtId="9" fontId="56" fillId="3" borderId="4" xfId="0" applyNumberFormat="1" applyFont="1" applyFill="1" applyBorder="1" applyAlignment="1" applyProtection="1">
      <alignment horizontal="center" vertical="center" wrapText="1"/>
      <protection hidden="1"/>
    </xf>
    <xf numFmtId="9" fontId="56" fillId="3" borderId="8" xfId="0" applyNumberFormat="1" applyFont="1" applyFill="1" applyBorder="1" applyAlignment="1" applyProtection="1">
      <alignment horizontal="center" vertical="center" wrapText="1"/>
      <protection hidden="1"/>
    </xf>
    <xf numFmtId="9" fontId="56" fillId="3" borderId="5" xfId="0" applyNumberFormat="1" applyFont="1" applyFill="1" applyBorder="1" applyAlignment="1" applyProtection="1">
      <alignment horizontal="center" vertical="center" wrapText="1"/>
      <protection hidden="1"/>
    </xf>
    <xf numFmtId="9" fontId="61" fillId="3" borderId="4" xfId="0" applyNumberFormat="1" applyFont="1" applyFill="1" applyBorder="1" applyAlignment="1" applyProtection="1">
      <alignment horizontal="center" vertical="center" wrapText="1"/>
      <protection hidden="1"/>
    </xf>
    <xf numFmtId="9" fontId="61" fillId="3" borderId="8" xfId="0" applyNumberFormat="1" applyFont="1" applyFill="1" applyBorder="1" applyAlignment="1" applyProtection="1">
      <alignment horizontal="center" vertical="center" wrapText="1"/>
      <protection hidden="1"/>
    </xf>
    <xf numFmtId="9" fontId="61" fillId="3" borderId="5" xfId="0" applyNumberFormat="1" applyFont="1" applyFill="1" applyBorder="1" applyAlignment="1" applyProtection="1">
      <alignment horizontal="center" vertical="center" wrapText="1"/>
      <protection hidden="1"/>
    </xf>
    <xf numFmtId="9" fontId="56" fillId="3" borderId="4" xfId="0" applyNumberFormat="1" applyFont="1" applyFill="1" applyBorder="1" applyAlignment="1" applyProtection="1">
      <alignment horizontal="center" vertical="center" wrapText="1"/>
      <protection locked="0"/>
    </xf>
    <xf numFmtId="9" fontId="56" fillId="3" borderId="8" xfId="0" applyNumberFormat="1" applyFont="1" applyFill="1" applyBorder="1" applyAlignment="1" applyProtection="1">
      <alignment horizontal="center" vertical="center" wrapText="1"/>
      <protection locked="0"/>
    </xf>
    <xf numFmtId="9" fontId="56" fillId="3" borderId="5" xfId="0" applyNumberFormat="1" applyFont="1" applyFill="1" applyBorder="1" applyAlignment="1" applyProtection="1">
      <alignment horizontal="center" vertical="center" wrapText="1"/>
      <protection locked="0"/>
    </xf>
    <xf numFmtId="0" fontId="61" fillId="3" borderId="4" xfId="0" applyFont="1" applyFill="1" applyBorder="1" applyAlignment="1" applyProtection="1">
      <alignment horizontal="center" vertical="center" wrapText="1"/>
      <protection hidden="1"/>
    </xf>
    <xf numFmtId="0" fontId="61" fillId="3" borderId="8" xfId="0" applyFont="1" applyFill="1" applyBorder="1" applyAlignment="1" applyProtection="1">
      <alignment horizontal="center" vertical="center" wrapText="1"/>
      <protection hidden="1"/>
    </xf>
    <xf numFmtId="0" fontId="61" fillId="3" borderId="5" xfId="0" applyFont="1" applyFill="1" applyBorder="1" applyAlignment="1" applyProtection="1">
      <alignment horizontal="center" vertical="center" wrapText="1"/>
      <protection hidden="1"/>
    </xf>
    <xf numFmtId="0" fontId="56" fillId="3" borderId="4" xfId="0" applyFont="1" applyFill="1" applyBorder="1" applyAlignment="1" applyProtection="1">
      <alignment horizontal="center" vertical="center" wrapText="1"/>
      <protection locked="0"/>
    </xf>
    <xf numFmtId="0" fontId="56" fillId="3" borderId="8" xfId="0" applyFont="1" applyFill="1" applyBorder="1" applyAlignment="1" applyProtection="1">
      <alignment horizontal="center" vertical="center" wrapText="1"/>
      <protection locked="0"/>
    </xf>
    <xf numFmtId="0" fontId="56" fillId="3" borderId="5" xfId="0" applyFont="1" applyFill="1" applyBorder="1" applyAlignment="1" applyProtection="1">
      <alignment horizontal="center" vertical="center" wrapText="1"/>
      <protection locked="0"/>
    </xf>
    <xf numFmtId="0" fontId="56" fillId="3" borderId="4" xfId="0" applyFont="1" applyFill="1" applyBorder="1" applyAlignment="1" applyProtection="1">
      <alignment horizontal="center" vertical="center"/>
      <protection locked="0"/>
    </xf>
    <xf numFmtId="0" fontId="56" fillId="3" borderId="8" xfId="0" applyFont="1" applyFill="1" applyBorder="1" applyAlignment="1" applyProtection="1">
      <alignment horizontal="center" vertical="center"/>
      <protection locked="0"/>
    </xf>
    <xf numFmtId="0" fontId="56" fillId="3" borderId="5" xfId="0" applyFont="1" applyFill="1" applyBorder="1" applyAlignment="1" applyProtection="1">
      <alignment horizontal="center" vertical="center"/>
      <protection locked="0"/>
    </xf>
    <xf numFmtId="9" fontId="56" fillId="0" borderId="29" xfId="0" applyNumberFormat="1" applyFont="1" applyBorder="1" applyAlignment="1" applyProtection="1">
      <alignment horizontal="center" vertical="center" wrapText="1"/>
      <protection hidden="1"/>
    </xf>
    <xf numFmtId="9" fontId="56" fillId="0" borderId="0" xfId="0" applyNumberFormat="1" applyFont="1" applyAlignment="1" applyProtection="1">
      <alignment horizontal="center" vertical="center" wrapText="1"/>
      <protection hidden="1"/>
    </xf>
    <xf numFmtId="9" fontId="56" fillId="0" borderId="31" xfId="0" applyNumberFormat="1" applyFont="1" applyBorder="1" applyAlignment="1" applyProtection="1">
      <alignment horizontal="center" vertical="center" wrapText="1"/>
      <protection hidden="1"/>
    </xf>
    <xf numFmtId="0" fontId="61" fillId="0" borderId="29" xfId="0" applyFont="1" applyBorder="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1" fillId="0" borderId="31" xfId="0" applyFont="1" applyBorder="1" applyAlignment="1" applyProtection="1">
      <alignment horizontal="center" vertical="center" wrapText="1"/>
      <protection hidden="1"/>
    </xf>
    <xf numFmtId="0" fontId="56" fillId="0" borderId="29" xfId="0" applyFont="1" applyBorder="1" applyAlignment="1" applyProtection="1">
      <alignment horizontal="center" vertical="center"/>
      <protection locked="0"/>
    </xf>
    <xf numFmtId="0" fontId="56" fillId="0" borderId="0" xfId="0" applyFont="1" applyAlignment="1" applyProtection="1">
      <alignment horizontal="center" vertical="center"/>
      <protection locked="0"/>
    </xf>
    <xf numFmtId="0" fontId="56" fillId="0" borderId="31" xfId="0" applyFont="1" applyBorder="1" applyAlignment="1" applyProtection="1">
      <alignment horizontal="center" vertical="center"/>
      <protection locked="0"/>
    </xf>
    <xf numFmtId="0" fontId="56" fillId="0" borderId="29" xfId="0" applyFont="1" applyBorder="1" applyAlignment="1" applyProtection="1">
      <alignment horizontal="center" vertical="center" wrapText="1"/>
      <protection locked="0"/>
    </xf>
    <xf numFmtId="0" fontId="56" fillId="0" borderId="0" xfId="0" applyFont="1" applyAlignment="1" applyProtection="1">
      <alignment horizontal="center" vertical="center" wrapText="1"/>
      <protection locked="0"/>
    </xf>
    <xf numFmtId="0" fontId="56" fillId="0" borderId="31" xfId="0" applyFont="1" applyBorder="1" applyAlignment="1" applyProtection="1">
      <alignment horizontal="center" vertical="center" wrapText="1"/>
      <protection locked="0"/>
    </xf>
    <xf numFmtId="0" fontId="58" fillId="0" borderId="30" xfId="0" applyFont="1" applyBorder="1" applyAlignment="1" applyProtection="1">
      <alignment horizontal="center" vertical="center"/>
      <protection hidden="1"/>
    </xf>
    <xf numFmtId="0" fontId="58" fillId="0" borderId="77" xfId="0" applyFont="1" applyBorder="1" applyAlignment="1" applyProtection="1">
      <alignment horizontal="center" vertical="center"/>
      <protection hidden="1"/>
    </xf>
    <xf numFmtId="0" fontId="58" fillId="0" borderId="32" xfId="0" applyFont="1" applyBorder="1" applyAlignment="1" applyProtection="1">
      <alignment horizontal="center" vertical="center"/>
      <protection hidden="1"/>
    </xf>
    <xf numFmtId="9" fontId="63" fillId="0" borderId="29" xfId="0" applyNumberFormat="1" applyFont="1" applyBorder="1" applyAlignment="1" applyProtection="1">
      <alignment horizontal="center" vertical="center" wrapText="1"/>
      <protection hidden="1"/>
    </xf>
    <xf numFmtId="9" fontId="63" fillId="0" borderId="0" xfId="0" applyNumberFormat="1" applyFont="1" applyAlignment="1" applyProtection="1">
      <alignment horizontal="center" vertical="center" wrapText="1"/>
      <protection hidden="1"/>
    </xf>
    <xf numFmtId="9" fontId="63" fillId="0" borderId="31" xfId="0" applyNumberFormat="1" applyFont="1" applyBorder="1" applyAlignment="1" applyProtection="1">
      <alignment horizontal="center" vertical="center" wrapText="1"/>
      <protection hidden="1"/>
    </xf>
    <xf numFmtId="9" fontId="61" fillId="0" borderId="29" xfId="0" applyNumberFormat="1" applyFont="1" applyBorder="1" applyAlignment="1" applyProtection="1">
      <alignment horizontal="center" vertical="center" wrapText="1"/>
      <protection hidden="1"/>
    </xf>
    <xf numFmtId="9" fontId="61" fillId="0" borderId="0" xfId="0" applyNumberFormat="1" applyFont="1" applyAlignment="1" applyProtection="1">
      <alignment horizontal="center" vertical="center" wrapText="1"/>
      <protection hidden="1"/>
    </xf>
    <xf numFmtId="9" fontId="61" fillId="0" borderId="31" xfId="0" applyNumberFormat="1" applyFont="1" applyBorder="1" applyAlignment="1" applyProtection="1">
      <alignment horizontal="center" vertical="center" wrapText="1"/>
      <protection hidden="1"/>
    </xf>
    <xf numFmtId="9" fontId="56" fillId="0" borderId="29" xfId="0" applyNumberFormat="1" applyFont="1" applyBorder="1" applyAlignment="1" applyProtection="1">
      <alignment horizontal="center" vertical="center" wrapText="1"/>
      <protection locked="0"/>
    </xf>
    <xf numFmtId="9" fontId="56" fillId="0" borderId="0" xfId="0" applyNumberFormat="1" applyFont="1" applyAlignment="1" applyProtection="1">
      <alignment horizontal="center" vertical="center" wrapText="1"/>
      <protection locked="0"/>
    </xf>
    <xf numFmtId="9" fontId="56" fillId="0" borderId="31" xfId="0" applyNumberFormat="1" applyFont="1" applyBorder="1" applyAlignment="1" applyProtection="1">
      <alignment horizontal="center" vertical="center" wrapText="1"/>
      <protection locked="0"/>
    </xf>
    <xf numFmtId="0" fontId="55" fillId="0" borderId="29" xfId="0" applyFont="1" applyBorder="1" applyAlignment="1" applyProtection="1">
      <alignment horizontal="center" vertical="center" wrapText="1"/>
      <protection locked="0"/>
    </xf>
    <xf numFmtId="0" fontId="55" fillId="0" borderId="0" xfId="0" applyFont="1" applyAlignment="1" applyProtection="1">
      <alignment horizontal="center" vertical="center" wrapText="1"/>
      <protection locked="0"/>
    </xf>
    <xf numFmtId="0" fontId="55" fillId="0" borderId="31" xfId="0" applyFont="1" applyBorder="1" applyAlignment="1" applyProtection="1">
      <alignment horizontal="center" vertical="center" wrapText="1"/>
      <protection locked="0"/>
    </xf>
    <xf numFmtId="0" fontId="55" fillId="0" borderId="28" xfId="0" applyFont="1" applyBorder="1" applyAlignment="1" applyProtection="1">
      <alignment horizontal="center" vertical="center" wrapText="1"/>
      <protection locked="0"/>
    </xf>
    <xf numFmtId="0" fontId="55" fillId="0" borderId="9" xfId="0" applyFont="1" applyBorder="1" applyAlignment="1" applyProtection="1">
      <alignment horizontal="center" vertical="center" wrapText="1"/>
      <protection locked="0"/>
    </xf>
    <xf numFmtId="0" fontId="55" fillId="0" borderId="3" xfId="0" applyFont="1" applyBorder="1" applyAlignment="1" applyProtection="1">
      <alignment horizontal="center" vertical="center" wrapText="1"/>
      <protection locked="0"/>
    </xf>
    <xf numFmtId="0" fontId="55" fillId="0" borderId="4" xfId="0" applyFont="1" applyBorder="1" applyAlignment="1">
      <alignment horizontal="center" vertical="center"/>
    </xf>
    <xf numFmtId="0" fontId="55" fillId="0" borderId="8" xfId="0" applyFont="1" applyBorder="1" applyAlignment="1">
      <alignment horizontal="center" vertical="center"/>
    </xf>
    <xf numFmtId="0" fontId="55" fillId="0" borderId="5" xfId="0" applyFont="1" applyBorder="1" applyAlignment="1">
      <alignment horizontal="center" vertical="center"/>
    </xf>
    <xf numFmtId="0" fontId="56" fillId="0" borderId="4" xfId="0" applyFont="1" applyBorder="1" applyAlignment="1" applyProtection="1">
      <alignment horizontal="left" vertical="center" wrapText="1"/>
      <protection locked="0"/>
    </xf>
    <xf numFmtId="0" fontId="56" fillId="0" borderId="5" xfId="0" applyFont="1" applyBorder="1" applyAlignment="1" applyProtection="1">
      <alignment horizontal="left" vertical="center" wrapText="1"/>
      <protection locked="0"/>
    </xf>
    <xf numFmtId="9" fontId="56" fillId="3" borderId="29" xfId="0" applyNumberFormat="1" applyFont="1" applyFill="1" applyBorder="1" applyAlignment="1" applyProtection="1">
      <alignment horizontal="center" vertical="center" wrapText="1"/>
      <protection locked="0"/>
    </xf>
    <xf numFmtId="9" fontId="56" fillId="3" borderId="0" xfId="0" applyNumberFormat="1" applyFont="1" applyFill="1" applyAlignment="1" applyProtection="1">
      <alignment horizontal="center" vertical="center" wrapText="1"/>
      <protection locked="0"/>
    </xf>
    <xf numFmtId="9" fontId="56" fillId="3" borderId="31" xfId="0" applyNumberFormat="1" applyFont="1" applyFill="1" applyBorder="1" applyAlignment="1" applyProtection="1">
      <alignment horizontal="center" vertical="center" wrapText="1"/>
      <protection locked="0"/>
    </xf>
    <xf numFmtId="9" fontId="61" fillId="3" borderId="29" xfId="0" applyNumberFormat="1" applyFont="1" applyFill="1" applyBorder="1" applyAlignment="1" applyProtection="1">
      <alignment horizontal="center" vertical="center" wrapText="1"/>
      <protection hidden="1"/>
    </xf>
    <xf numFmtId="9" fontId="61" fillId="3" borderId="0" xfId="0" applyNumberFormat="1" applyFont="1" applyFill="1" applyAlignment="1" applyProtection="1">
      <alignment horizontal="center" vertical="center" wrapText="1"/>
      <protection hidden="1"/>
    </xf>
    <xf numFmtId="9" fontId="61" fillId="3" borderId="31" xfId="0" applyNumberFormat="1" applyFont="1" applyFill="1" applyBorder="1" applyAlignment="1" applyProtection="1">
      <alignment horizontal="center" vertical="center" wrapText="1"/>
      <protection hidden="1"/>
    </xf>
    <xf numFmtId="9" fontId="56" fillId="3" borderId="29" xfId="0" applyNumberFormat="1" applyFont="1" applyFill="1" applyBorder="1" applyAlignment="1" applyProtection="1">
      <alignment horizontal="center" vertical="center" wrapText="1"/>
      <protection hidden="1"/>
    </xf>
    <xf numFmtId="9" fontId="56" fillId="3" borderId="0" xfId="0" applyNumberFormat="1" applyFont="1" applyFill="1" applyAlignment="1" applyProtection="1">
      <alignment horizontal="center" vertical="center" wrapText="1"/>
      <protection hidden="1"/>
    </xf>
    <xf numFmtId="9" fontId="56" fillId="3" borderId="31" xfId="0" applyNumberFormat="1" applyFont="1" applyFill="1" applyBorder="1" applyAlignment="1" applyProtection="1">
      <alignment horizontal="center" vertical="center" wrapText="1"/>
      <protection hidden="1"/>
    </xf>
    <xf numFmtId="0" fontId="61" fillId="3" borderId="30" xfId="0" applyFont="1" applyFill="1" applyBorder="1" applyAlignment="1" applyProtection="1">
      <alignment horizontal="center" vertical="center"/>
      <protection hidden="1"/>
    </xf>
    <xf numFmtId="0" fontId="61" fillId="3" borderId="77" xfId="0" applyFont="1" applyFill="1" applyBorder="1" applyAlignment="1" applyProtection="1">
      <alignment horizontal="center" vertical="center"/>
      <protection hidden="1"/>
    </xf>
    <xf numFmtId="0" fontId="61" fillId="3" borderId="32" xfId="0" applyFont="1" applyFill="1" applyBorder="1" applyAlignment="1" applyProtection="1">
      <alignment horizontal="center" vertical="center"/>
      <protection hidden="1"/>
    </xf>
    <xf numFmtId="0" fontId="56" fillId="3" borderId="28" xfId="0" applyFont="1" applyFill="1" applyBorder="1" applyAlignment="1" applyProtection="1">
      <alignment horizontal="center" vertical="center" wrapText="1"/>
      <protection locked="0"/>
    </xf>
    <xf numFmtId="0" fontId="56" fillId="3" borderId="9" xfId="0" applyFont="1" applyFill="1" applyBorder="1" applyAlignment="1" applyProtection="1">
      <alignment horizontal="center" vertical="center" wrapText="1"/>
      <protection locked="0"/>
    </xf>
    <xf numFmtId="0" fontId="56" fillId="3" borderId="3" xfId="0" applyFont="1" applyFill="1" applyBorder="1" applyAlignment="1" applyProtection="1">
      <alignment horizontal="center" vertical="center" wrapText="1"/>
      <protection locked="0"/>
    </xf>
    <xf numFmtId="0" fontId="56" fillId="3" borderId="4" xfId="0" applyFont="1" applyFill="1" applyBorder="1" applyAlignment="1">
      <alignment horizontal="center" vertical="center"/>
    </xf>
    <xf numFmtId="0" fontId="56" fillId="3" borderId="8" xfId="0" applyFont="1" applyFill="1" applyBorder="1" applyAlignment="1">
      <alignment horizontal="center" vertical="center"/>
    </xf>
    <xf numFmtId="0" fontId="56" fillId="3" borderId="5" xfId="0" applyFont="1" applyFill="1" applyBorder="1" applyAlignment="1">
      <alignment horizontal="center" vertical="center"/>
    </xf>
    <xf numFmtId="0" fontId="56" fillId="3" borderId="29" xfId="0" applyFont="1" applyFill="1" applyBorder="1" applyAlignment="1" applyProtection="1">
      <alignment horizontal="center" vertical="center" wrapText="1"/>
      <protection locked="0"/>
    </xf>
    <xf numFmtId="0" fontId="56" fillId="3" borderId="0" xfId="0" applyFont="1" applyFill="1" applyAlignment="1" applyProtection="1">
      <alignment horizontal="center" vertical="center" wrapText="1"/>
      <protection locked="0"/>
    </xf>
    <xf numFmtId="0" fontId="56" fillId="3" borderId="31" xfId="0" applyFont="1" applyFill="1" applyBorder="1" applyAlignment="1" applyProtection="1">
      <alignment horizontal="center" vertical="center" wrapText="1"/>
      <protection locked="0"/>
    </xf>
    <xf numFmtId="0" fontId="61" fillId="3" borderId="29" xfId="0" applyFont="1" applyFill="1" applyBorder="1" applyAlignment="1" applyProtection="1">
      <alignment horizontal="center" vertical="center"/>
      <protection locked="0"/>
    </xf>
    <xf numFmtId="0" fontId="61" fillId="3" borderId="0" xfId="0" applyFont="1" applyFill="1" applyAlignment="1" applyProtection="1">
      <alignment horizontal="center" vertical="center"/>
      <protection locked="0"/>
    </xf>
    <xf numFmtId="0" fontId="61" fillId="3" borderId="31" xfId="0" applyFont="1" applyFill="1" applyBorder="1" applyAlignment="1" applyProtection="1">
      <alignment horizontal="center" vertical="center"/>
      <protection locked="0"/>
    </xf>
    <xf numFmtId="0" fontId="61" fillId="3" borderId="29" xfId="0" applyFont="1" applyFill="1" applyBorder="1" applyAlignment="1" applyProtection="1">
      <alignment horizontal="center" vertical="center" wrapText="1"/>
      <protection hidden="1"/>
    </xf>
    <xf numFmtId="0" fontId="61" fillId="3" borderId="0" xfId="0" applyFont="1" applyFill="1" applyAlignment="1" applyProtection="1">
      <alignment horizontal="center" vertical="center" wrapText="1"/>
      <protection hidden="1"/>
    </xf>
    <xf numFmtId="0" fontId="61" fillId="3" borderId="31" xfId="0" applyFont="1" applyFill="1" applyBorder="1" applyAlignment="1" applyProtection="1">
      <alignment horizontal="center" vertical="center" wrapText="1"/>
      <protection hidden="1"/>
    </xf>
    <xf numFmtId="0" fontId="61" fillId="0" borderId="4" xfId="0" applyFont="1" applyBorder="1" applyAlignment="1" applyProtection="1">
      <alignment horizontal="center" vertical="center"/>
      <protection hidden="1"/>
    </xf>
    <xf numFmtId="0" fontId="61" fillId="0" borderId="8" xfId="0" applyFont="1" applyBorder="1" applyAlignment="1" applyProtection="1">
      <alignment horizontal="center" vertical="center"/>
      <protection hidden="1"/>
    </xf>
    <xf numFmtId="9" fontId="56" fillId="0" borderId="4" xfId="0" applyNumberFormat="1" applyFont="1" applyBorder="1" applyAlignment="1" applyProtection="1">
      <alignment horizontal="center" vertical="center" wrapText="1"/>
      <protection hidden="1"/>
    </xf>
    <xf numFmtId="9" fontId="56" fillId="0" borderId="8" xfId="0" applyNumberFormat="1" applyFont="1" applyBorder="1" applyAlignment="1" applyProtection="1">
      <alignment horizontal="center" vertical="center" wrapText="1"/>
      <protection hidden="1"/>
    </xf>
    <xf numFmtId="9" fontId="56" fillId="0" borderId="4" xfId="0" applyNumberFormat="1" applyFont="1" applyBorder="1" applyAlignment="1" applyProtection="1">
      <alignment horizontal="center" vertical="center" wrapText="1"/>
      <protection locked="0"/>
    </xf>
    <xf numFmtId="9" fontId="56" fillId="0" borderId="5" xfId="0" applyNumberFormat="1" applyFont="1" applyBorder="1" applyAlignment="1" applyProtection="1">
      <alignment horizontal="center" vertical="center" wrapText="1"/>
      <protection locked="0"/>
    </xf>
    <xf numFmtId="0" fontId="56" fillId="0" borderId="4" xfId="0" applyFont="1" applyBorder="1" applyAlignment="1">
      <alignment horizontal="center" vertical="center"/>
    </xf>
    <xf numFmtId="0" fontId="56" fillId="0" borderId="8" xfId="0" applyFont="1" applyBorder="1" applyAlignment="1">
      <alignment horizontal="center" vertical="center"/>
    </xf>
    <xf numFmtId="0" fontId="56" fillId="0" borderId="4" xfId="0" applyFont="1" applyBorder="1" applyAlignment="1" applyProtection="1">
      <alignment horizontal="center" vertical="center" wrapText="1"/>
      <protection locked="0"/>
    </xf>
    <xf numFmtId="0" fontId="56" fillId="0" borderId="5" xfId="0" applyFont="1" applyBorder="1" applyAlignment="1" applyProtection="1">
      <alignment horizontal="center" vertical="center" wrapText="1"/>
      <protection locked="0"/>
    </xf>
    <xf numFmtId="0" fontId="56" fillId="0" borderId="8" xfId="0" applyFont="1" applyBorder="1" applyAlignment="1" applyProtection="1">
      <alignment horizontal="center" vertical="center" wrapText="1"/>
      <protection locked="0"/>
    </xf>
    <xf numFmtId="9" fontId="61" fillId="0" borderId="4" xfId="0" applyNumberFormat="1" applyFont="1" applyBorder="1" applyAlignment="1" applyProtection="1">
      <alignment horizontal="center" vertical="center" wrapText="1"/>
      <protection hidden="1"/>
    </xf>
    <xf numFmtId="9" fontId="61" fillId="0" borderId="5" xfId="0" applyNumberFormat="1" applyFont="1" applyBorder="1" applyAlignment="1" applyProtection="1">
      <alignment horizontal="center" vertical="center" wrapText="1"/>
      <protection hidden="1"/>
    </xf>
    <xf numFmtId="0" fontId="56" fillId="0" borderId="4" xfId="0" applyFont="1" applyBorder="1" applyAlignment="1" applyProtection="1">
      <alignment horizontal="center" vertical="center"/>
      <protection locked="0"/>
    </xf>
    <xf numFmtId="0" fontId="56" fillId="0" borderId="8" xfId="0" applyFont="1" applyBorder="1" applyAlignment="1" applyProtection="1">
      <alignment horizontal="center" vertical="center"/>
      <protection locked="0"/>
    </xf>
    <xf numFmtId="0" fontId="61" fillId="0" borderId="4" xfId="0" applyFont="1" applyBorder="1" applyAlignment="1" applyProtection="1">
      <alignment horizontal="center" vertical="center" wrapText="1"/>
      <protection hidden="1"/>
    </xf>
    <xf numFmtId="0" fontId="61" fillId="0" borderId="8" xfId="0" applyFont="1" applyBorder="1" applyAlignment="1" applyProtection="1">
      <alignment horizontal="center" vertical="center" wrapText="1"/>
      <protection hidden="1"/>
    </xf>
    <xf numFmtId="0" fontId="71" fillId="0" borderId="33" xfId="0" applyFont="1" applyBorder="1" applyAlignment="1">
      <alignment horizontal="center" vertical="center"/>
    </xf>
    <xf numFmtId="0" fontId="72" fillId="0" borderId="34" xfId="0" applyFont="1" applyBorder="1" applyAlignment="1">
      <alignment horizontal="left" vertical="center"/>
    </xf>
    <xf numFmtId="0" fontId="72" fillId="0" borderId="33" xfId="0" applyFont="1" applyBorder="1" applyAlignment="1">
      <alignment horizontal="left" vertical="center"/>
    </xf>
    <xf numFmtId="0" fontId="58" fillId="19" borderId="33" xfId="0" applyFont="1" applyFill="1" applyBorder="1" applyAlignment="1">
      <alignment horizontal="center" vertical="center"/>
    </xf>
    <xf numFmtId="0" fontId="58" fillId="0" borderId="33" xfId="0" applyFont="1" applyBorder="1" applyAlignment="1">
      <alignment horizontal="center" vertical="center" textRotation="90" wrapText="1"/>
    </xf>
    <xf numFmtId="0" fontId="58" fillId="0" borderId="33" xfId="0" applyFont="1" applyBorder="1" applyAlignment="1">
      <alignment horizontal="center" vertical="center"/>
    </xf>
    <xf numFmtId="0" fontId="58" fillId="0" borderId="33" xfId="0" applyFont="1" applyBorder="1" applyAlignment="1">
      <alignment horizontal="center" vertical="center" textRotation="90"/>
    </xf>
    <xf numFmtId="0" fontId="58" fillId="0" borderId="33" xfId="0" applyFont="1" applyBorder="1" applyAlignment="1">
      <alignment horizontal="center" vertical="center" wrapText="1"/>
    </xf>
    <xf numFmtId="0" fontId="70" fillId="3" borderId="33" xfId="0" applyFont="1" applyFill="1" applyBorder="1" applyAlignment="1" applyProtection="1">
      <alignment horizontal="left" vertical="center" wrapText="1"/>
      <protection locked="0"/>
    </xf>
    <xf numFmtId="0" fontId="59" fillId="0" borderId="6" xfId="0" applyFont="1" applyBorder="1" applyAlignment="1">
      <alignment horizontal="left" vertical="center" wrapText="1"/>
    </xf>
    <xf numFmtId="0" fontId="59" fillId="0" borderId="10" xfId="0" applyFont="1" applyBorder="1" applyAlignment="1">
      <alignment horizontal="left" vertical="center" wrapText="1"/>
    </xf>
    <xf numFmtId="0" fontId="59" fillId="0" borderId="7" xfId="0" applyFont="1" applyBorder="1" applyAlignment="1">
      <alignment horizontal="left" vertical="center" wrapText="1"/>
    </xf>
    <xf numFmtId="0" fontId="55" fillId="0" borderId="33" xfId="0" applyFont="1" applyBorder="1" applyAlignment="1">
      <alignment horizontal="center" vertical="center"/>
    </xf>
    <xf numFmtId="0" fontId="56" fillId="0" borderId="33" xfId="0" applyFont="1" applyBorder="1" applyAlignment="1" applyProtection="1">
      <alignment horizontal="center" vertical="center" wrapText="1"/>
      <protection locked="0"/>
    </xf>
    <xf numFmtId="9" fontId="56" fillId="0" borderId="33" xfId="0" applyNumberFormat="1" applyFont="1" applyBorder="1" applyAlignment="1" applyProtection="1">
      <alignment horizontal="center" vertical="center" wrapText="1"/>
      <protection hidden="1"/>
    </xf>
    <xf numFmtId="0" fontId="61" fillId="17" borderId="33" xfId="0" applyFont="1" applyFill="1" applyBorder="1" applyAlignment="1" applyProtection="1">
      <alignment horizontal="center" vertical="center"/>
      <protection hidden="1"/>
    </xf>
    <xf numFmtId="0" fontId="56" fillId="0" borderId="33" xfId="0" applyFont="1" applyBorder="1" applyAlignment="1" applyProtection="1">
      <alignment horizontal="center" vertical="center"/>
      <protection locked="0"/>
    </xf>
    <xf numFmtId="0" fontId="61" fillId="0" borderId="33" xfId="0" applyFont="1" applyBorder="1" applyAlignment="1" applyProtection="1">
      <alignment horizontal="center" vertical="center" wrapText="1"/>
      <protection hidden="1"/>
    </xf>
    <xf numFmtId="9" fontId="56" fillId="0" borderId="33" xfId="0" applyNumberFormat="1" applyFont="1" applyBorder="1" applyAlignment="1" applyProtection="1">
      <alignment horizontal="center" vertical="center" wrapText="1"/>
      <protection locked="0"/>
    </xf>
    <xf numFmtId="9" fontId="61" fillId="17" borderId="33" xfId="0" applyNumberFormat="1" applyFont="1" applyFill="1" applyBorder="1" applyAlignment="1" applyProtection="1">
      <alignment horizontal="center" vertical="center" wrapText="1"/>
      <protection hidden="1"/>
    </xf>
    <xf numFmtId="9" fontId="56" fillId="3" borderId="4" xfId="0" applyNumberFormat="1" applyFont="1" applyFill="1" applyBorder="1" applyAlignment="1" applyProtection="1">
      <alignment horizontal="left" vertical="center" wrapText="1"/>
      <protection locked="0"/>
    </xf>
    <xf numFmtId="9" fontId="56" fillId="3" borderId="8" xfId="0" applyNumberFormat="1" applyFont="1" applyFill="1" applyBorder="1" applyAlignment="1" applyProtection="1">
      <alignment horizontal="left" vertical="center" wrapText="1"/>
      <protection locked="0"/>
    </xf>
    <xf numFmtId="9" fontId="56" fillId="3" borderId="5" xfId="0" applyNumberFormat="1" applyFont="1" applyFill="1" applyBorder="1" applyAlignment="1" applyProtection="1">
      <alignment horizontal="left" vertical="center" wrapText="1"/>
      <protection locked="0"/>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26" fillId="2" borderId="4" xfId="0" applyFont="1" applyFill="1" applyBorder="1" applyAlignment="1">
      <alignment horizontal="center" vertical="center" textRotation="90"/>
    </xf>
    <xf numFmtId="0" fontId="26" fillId="2" borderId="5" xfId="0" applyFont="1" applyFill="1" applyBorder="1" applyAlignment="1">
      <alignment horizontal="center" vertical="center" textRotation="90"/>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textRotation="90" wrapText="1"/>
    </xf>
    <xf numFmtId="0" fontId="4" fillId="16"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4"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48" fillId="3" borderId="4" xfId="0" applyFont="1" applyFill="1" applyBorder="1" applyAlignment="1" applyProtection="1">
      <alignment horizontal="center" vertical="center"/>
      <protection hidden="1"/>
    </xf>
    <xf numFmtId="0" fontId="48" fillId="3" borderId="8" xfId="0" applyFont="1" applyFill="1" applyBorder="1" applyAlignment="1" applyProtection="1">
      <alignment horizontal="center" vertical="center"/>
      <protection hidden="1"/>
    </xf>
    <xf numFmtId="0" fontId="2" fillId="3" borderId="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48" fillId="3" borderId="4" xfId="0" applyFont="1" applyFill="1" applyBorder="1" applyAlignment="1" applyProtection="1">
      <alignment horizontal="center" vertical="center" wrapText="1"/>
      <protection hidden="1"/>
    </xf>
    <xf numFmtId="0" fontId="48" fillId="3" borderId="8" xfId="0" applyFont="1" applyFill="1" applyBorder="1" applyAlignment="1" applyProtection="1">
      <alignment horizontal="center" vertical="center" wrapText="1"/>
      <protection hidden="1"/>
    </xf>
    <xf numFmtId="9" fontId="2" fillId="3" borderId="4" xfId="0" applyNumberFormat="1" applyFont="1" applyFill="1" applyBorder="1" applyAlignment="1" applyProtection="1">
      <alignment horizontal="center" vertical="center" wrapText="1"/>
      <protection hidden="1"/>
    </xf>
    <xf numFmtId="9" fontId="2" fillId="3" borderId="8" xfId="0" applyNumberFormat="1" applyFont="1" applyFill="1" applyBorder="1" applyAlignment="1" applyProtection="1">
      <alignment horizontal="center" vertical="center" wrapText="1"/>
      <protection hidden="1"/>
    </xf>
    <xf numFmtId="0" fontId="71" fillId="0" borderId="28" xfId="0" applyFont="1" applyBorder="1" applyAlignment="1">
      <alignment horizontal="center" vertical="center"/>
    </xf>
    <xf numFmtId="0" fontId="71" fillId="0" borderId="29" xfId="0" applyFont="1" applyBorder="1" applyAlignment="1">
      <alignment horizontal="center" vertical="center"/>
    </xf>
    <xf numFmtId="0" fontId="71" fillId="0" borderId="30" xfId="0" applyFont="1" applyBorder="1" applyAlignment="1">
      <alignment horizontal="center" vertical="center"/>
    </xf>
    <xf numFmtId="0" fontId="71" fillId="0" borderId="3" xfId="0" applyFont="1" applyBorder="1" applyAlignment="1">
      <alignment horizontal="center" vertical="center"/>
    </xf>
    <xf numFmtId="0" fontId="71" fillId="0" borderId="31" xfId="0" applyFont="1" applyBorder="1" applyAlignment="1">
      <alignment horizontal="center" vertical="center"/>
    </xf>
    <xf numFmtId="0" fontId="71" fillId="0" borderId="32" xfId="0" applyFont="1" applyBorder="1" applyAlignment="1">
      <alignment horizontal="center" vertical="center"/>
    </xf>
    <xf numFmtId="0" fontId="72" fillId="0" borderId="6" xfId="0" applyFont="1" applyBorder="1" applyAlignment="1">
      <alignment horizontal="left" vertical="center"/>
    </xf>
    <xf numFmtId="0" fontId="72" fillId="0" borderId="10" xfId="0" applyFont="1" applyBorder="1" applyAlignment="1">
      <alignment horizontal="left" vertical="center"/>
    </xf>
    <xf numFmtId="0" fontId="72" fillId="0" borderId="28" xfId="0" applyFont="1" applyBorder="1" applyAlignment="1">
      <alignment horizontal="left" vertical="center"/>
    </xf>
    <xf numFmtId="0" fontId="72" fillId="0" borderId="29" xfId="0" applyFont="1" applyBorder="1" applyAlignment="1">
      <alignment horizontal="left" vertical="center"/>
    </xf>
    <xf numFmtId="0" fontId="74" fillId="0" borderId="78" xfId="0" applyFont="1" applyBorder="1" applyAlignment="1" applyProtection="1">
      <alignment horizontal="left" vertical="center" wrapText="1"/>
      <protection locked="0"/>
    </xf>
    <xf numFmtId="0" fontId="74" fillId="0" borderId="82" xfId="0" applyFont="1" applyBorder="1" applyAlignment="1" applyProtection="1">
      <alignment horizontal="left" vertical="center" wrapText="1"/>
      <protection locked="0"/>
    </xf>
    <xf numFmtId="0" fontId="74" fillId="0" borderId="79" xfId="0" applyFont="1" applyBorder="1" applyAlignment="1" applyProtection="1">
      <alignment horizontal="left" vertical="center" wrapText="1"/>
      <protection locked="0"/>
    </xf>
    <xf numFmtId="0" fontId="55" fillId="0" borderId="78" xfId="0" applyFont="1" applyBorder="1" applyAlignment="1">
      <alignment horizontal="center" vertical="center"/>
    </xf>
    <xf numFmtId="9" fontId="56" fillId="0" borderId="80" xfId="0" applyNumberFormat="1" applyFont="1" applyBorder="1" applyAlignment="1" applyProtection="1">
      <alignment horizontal="center" vertical="center" wrapText="1"/>
      <protection locked="0"/>
    </xf>
    <xf numFmtId="9" fontId="56" fillId="0" borderId="81" xfId="0" applyNumberFormat="1" applyFont="1" applyBorder="1" applyAlignment="1" applyProtection="1">
      <alignment horizontal="center" vertical="center" wrapText="1"/>
      <protection locked="0"/>
    </xf>
    <xf numFmtId="9" fontId="56" fillId="0" borderId="34" xfId="0" applyNumberFormat="1" applyFont="1" applyBorder="1" applyAlignment="1" applyProtection="1">
      <alignment horizontal="center" vertical="center" wrapText="1"/>
      <protection locked="0"/>
    </xf>
    <xf numFmtId="9" fontId="61" fillId="0" borderId="80" xfId="0" applyNumberFormat="1" applyFont="1" applyBorder="1" applyAlignment="1" applyProtection="1">
      <alignment horizontal="center" vertical="center" wrapText="1"/>
      <protection hidden="1"/>
    </xf>
    <xf numFmtId="9" fontId="61" fillId="0" borderId="81" xfId="0" applyNumberFormat="1" applyFont="1" applyBorder="1" applyAlignment="1" applyProtection="1">
      <alignment horizontal="center" vertical="center" wrapText="1"/>
      <protection hidden="1"/>
    </xf>
    <xf numFmtId="9" fontId="61" fillId="0" borderId="34" xfId="0" applyNumberFormat="1" applyFont="1" applyBorder="1" applyAlignment="1" applyProtection="1">
      <alignment horizontal="center" vertical="center" wrapText="1"/>
      <protection hidden="1"/>
    </xf>
    <xf numFmtId="0" fontId="59" fillId="0" borderId="3" xfId="0" applyFont="1" applyBorder="1" applyAlignment="1">
      <alignment horizontal="left" vertical="center" wrapText="1"/>
    </xf>
    <xf numFmtId="0" fontId="59" fillId="0" borderId="31" xfId="0" applyFont="1" applyBorder="1" applyAlignment="1">
      <alignment horizontal="left" vertical="center" wrapText="1"/>
    </xf>
    <xf numFmtId="0" fontId="59" fillId="0" borderId="32" xfId="0" applyFont="1" applyBorder="1" applyAlignment="1">
      <alignment horizontal="left" vertical="center" wrapText="1"/>
    </xf>
    <xf numFmtId="0" fontId="55" fillId="0" borderId="33" xfId="0" applyFont="1" applyBorder="1" applyAlignment="1" applyProtection="1">
      <alignment horizontal="center" vertical="center" wrapText="1"/>
      <protection locked="0"/>
    </xf>
    <xf numFmtId="9" fontId="56" fillId="0" borderId="80" xfId="0" applyNumberFormat="1" applyFont="1" applyBorder="1" applyAlignment="1" applyProtection="1">
      <alignment horizontal="center" vertical="center" wrapText="1"/>
      <protection hidden="1"/>
    </xf>
    <xf numFmtId="9" fontId="56" fillId="0" borderId="81" xfId="0" applyNumberFormat="1" applyFont="1" applyBorder="1" applyAlignment="1" applyProtection="1">
      <alignment horizontal="center" vertical="center" wrapText="1"/>
      <protection hidden="1"/>
    </xf>
    <xf numFmtId="9" fontId="56" fillId="0" borderId="34" xfId="0" applyNumberFormat="1" applyFont="1" applyBorder="1" applyAlignment="1" applyProtection="1">
      <alignment horizontal="center" vertical="center" wrapText="1"/>
      <protection hidden="1"/>
    </xf>
    <xf numFmtId="0" fontId="58" fillId="0" borderId="80" xfId="0" applyFont="1" applyBorder="1" applyAlignment="1" applyProtection="1">
      <alignment horizontal="center" vertical="center"/>
      <protection hidden="1"/>
    </xf>
    <xf numFmtId="0" fontId="58" fillId="0" borderId="81" xfId="0" applyFont="1" applyBorder="1" applyAlignment="1" applyProtection="1">
      <alignment horizontal="center" vertical="center"/>
      <protection hidden="1"/>
    </xf>
    <xf numFmtId="0" fontId="58" fillId="0" borderId="34" xfId="0" applyFont="1" applyBorder="1" applyAlignment="1" applyProtection="1">
      <alignment horizontal="center" vertical="center"/>
      <protection hidden="1"/>
    </xf>
    <xf numFmtId="0" fontId="61" fillId="0" borderId="80" xfId="0" applyFont="1" applyBorder="1" applyAlignment="1" applyProtection="1">
      <alignment horizontal="center" vertical="center" wrapText="1"/>
      <protection hidden="1"/>
    </xf>
    <xf numFmtId="0" fontId="61" fillId="0" borderId="81" xfId="0" applyFont="1" applyBorder="1" applyAlignment="1" applyProtection="1">
      <alignment horizontal="center" vertical="center" wrapText="1"/>
      <protection hidden="1"/>
    </xf>
    <xf numFmtId="0" fontId="61" fillId="0" borderId="34" xfId="0" applyFont="1" applyBorder="1" applyAlignment="1" applyProtection="1">
      <alignment horizontal="center" vertical="center" wrapText="1"/>
      <protection hidden="1"/>
    </xf>
    <xf numFmtId="9" fontId="56" fillId="0" borderId="4" xfId="0" applyNumberFormat="1" applyFont="1" applyBorder="1" applyAlignment="1" applyProtection="1">
      <alignment horizontal="left" vertical="center" wrapText="1"/>
      <protection locked="0"/>
    </xf>
    <xf numFmtId="9" fontId="56" fillId="0" borderId="8" xfId="0" applyNumberFormat="1" applyFont="1" applyBorder="1" applyAlignment="1" applyProtection="1">
      <alignment horizontal="left" vertical="center" wrapText="1"/>
      <protection locked="0"/>
    </xf>
    <xf numFmtId="9" fontId="56" fillId="0" borderId="5" xfId="0" applyNumberFormat="1" applyFont="1" applyBorder="1" applyAlignment="1" applyProtection="1">
      <alignment horizontal="left" vertical="center" wrapText="1"/>
      <protection locked="0"/>
    </xf>
    <xf numFmtId="9" fontId="61" fillId="0" borderId="8" xfId="0" applyNumberFormat="1" applyFont="1" applyBorder="1" applyAlignment="1" applyProtection="1">
      <alignment horizontal="center" vertical="center" wrapText="1"/>
      <protection hidden="1"/>
    </xf>
    <xf numFmtId="9" fontId="56" fillId="0" borderId="5" xfId="0" applyNumberFormat="1" applyFont="1" applyBorder="1" applyAlignment="1" applyProtection="1">
      <alignment horizontal="center" vertical="center" wrapText="1"/>
      <protection hidden="1"/>
    </xf>
    <xf numFmtId="0" fontId="74" fillId="0" borderId="78" xfId="0" applyFont="1" applyBorder="1" applyAlignment="1" applyProtection="1">
      <alignment horizontal="left" vertical="center"/>
      <protection locked="0"/>
    </xf>
    <xf numFmtId="0" fontId="74" fillId="0" borderId="82" xfId="0" applyFont="1" applyBorder="1" applyAlignment="1" applyProtection="1">
      <alignment horizontal="left" vertical="center"/>
      <protection locked="0"/>
    </xf>
    <xf numFmtId="0" fontId="74" fillId="0" borderId="79" xfId="0" applyFont="1" applyBorder="1" applyAlignment="1" applyProtection="1">
      <alignment horizontal="left" vertical="center"/>
      <protection locked="0"/>
    </xf>
    <xf numFmtId="0" fontId="65" fillId="0" borderId="33" xfId="0" applyFont="1" applyBorder="1" applyAlignment="1">
      <alignment horizontal="center" vertical="center"/>
    </xf>
    <xf numFmtId="0" fontId="60" fillId="0" borderId="33" xfId="0" applyFont="1" applyBorder="1" applyAlignment="1">
      <alignment horizontal="center" vertical="center" textRotation="90"/>
    </xf>
    <xf numFmtId="0" fontId="61" fillId="0" borderId="33" xfId="0" applyFont="1" applyBorder="1" applyAlignment="1">
      <alignment horizontal="center" vertical="center" wrapText="1"/>
    </xf>
    <xf numFmtId="0" fontId="65" fillId="19" borderId="33" xfId="0" applyFont="1" applyFill="1" applyBorder="1" applyAlignment="1">
      <alignment horizontal="center" vertical="center"/>
    </xf>
    <xf numFmtId="0" fontId="69" fillId="0" borderId="33" xfId="0" applyFont="1" applyBorder="1" applyAlignment="1">
      <alignment horizontal="center" vertical="center"/>
    </xf>
    <xf numFmtId="0" fontId="61" fillId="0" borderId="33" xfId="0" applyFont="1" applyBorder="1" applyAlignment="1" applyProtection="1">
      <alignment horizontal="center" vertical="center"/>
      <protection hidden="1"/>
    </xf>
    <xf numFmtId="9" fontId="61" fillId="0" borderId="33" xfId="0" applyNumberFormat="1" applyFont="1" applyBorder="1" applyAlignment="1" applyProtection="1">
      <alignment horizontal="center" vertical="center" wrapText="1"/>
      <protection hidden="1"/>
    </xf>
    <xf numFmtId="0" fontId="61" fillId="0" borderId="33" xfId="0" applyFont="1" applyBorder="1" applyAlignment="1">
      <alignment horizontal="center" vertical="center"/>
    </xf>
    <xf numFmtId="0" fontId="56" fillId="0" borderId="33" xfId="0" applyFont="1" applyBorder="1" applyAlignment="1">
      <alignment horizontal="center" vertical="center"/>
    </xf>
    <xf numFmtId="0" fontId="61" fillId="0" borderId="33" xfId="0" applyFont="1" applyBorder="1" applyAlignment="1">
      <alignment horizontal="center" vertical="center" textRotation="90"/>
    </xf>
    <xf numFmtId="0" fontId="61" fillId="0" borderId="33" xfId="0" applyFont="1" applyBorder="1" applyAlignment="1">
      <alignment horizontal="center" vertical="center" textRotation="90" wrapText="1"/>
    </xf>
    <xf numFmtId="0" fontId="56" fillId="0" borderId="33" xfId="0" applyFont="1" applyBorder="1" applyAlignment="1">
      <alignment horizontal="center" vertical="center" wrapText="1"/>
    </xf>
    <xf numFmtId="0" fontId="74" fillId="0" borderId="33" xfId="0" applyFont="1" applyBorder="1" applyAlignment="1" applyProtection="1">
      <alignment horizontal="left" vertical="center"/>
      <protection locked="0"/>
    </xf>
    <xf numFmtId="0" fontId="69" fillId="0" borderId="33" xfId="0" applyFont="1" applyBorder="1" applyAlignment="1" applyProtection="1">
      <alignment horizontal="center" vertical="center" wrapText="1"/>
      <protection locked="0"/>
    </xf>
    <xf numFmtId="0" fontId="65" fillId="0" borderId="33" xfId="0" applyFont="1" applyBorder="1" applyAlignment="1">
      <alignment horizontal="center" vertical="center" wrapText="1"/>
    </xf>
    <xf numFmtId="0" fontId="65" fillId="0" borderId="33" xfId="0" applyFont="1" applyBorder="1" applyAlignment="1">
      <alignment horizontal="center" vertical="center" textRotation="90" wrapText="1"/>
    </xf>
    <xf numFmtId="0" fontId="75" fillId="0" borderId="33" xfId="0" applyFont="1" applyBorder="1" applyAlignment="1" applyProtection="1">
      <alignment horizontal="center" vertical="center"/>
      <protection hidden="1"/>
    </xf>
    <xf numFmtId="0" fontId="69" fillId="13" borderId="33" xfId="0" applyFont="1" applyFill="1" applyBorder="1" applyAlignment="1" applyProtection="1">
      <alignment horizontal="center" vertical="center" wrapText="1"/>
      <protection locked="0"/>
    </xf>
    <xf numFmtId="9" fontId="69" fillId="0" borderId="33" xfId="0" applyNumberFormat="1" applyFont="1" applyBorder="1" applyAlignment="1" applyProtection="1">
      <alignment horizontal="center" vertical="center" wrapText="1"/>
      <protection hidden="1"/>
    </xf>
    <xf numFmtId="0" fontId="75" fillId="0" borderId="33" xfId="0" applyFont="1" applyBorder="1" applyAlignment="1" applyProtection="1">
      <alignment horizontal="center" vertical="center" wrapText="1"/>
      <protection hidden="1"/>
    </xf>
    <xf numFmtId="0" fontId="69" fillId="0" borderId="33" xfId="0" applyFont="1" applyBorder="1" applyAlignment="1" applyProtection="1">
      <alignment horizontal="center" vertical="center"/>
      <protection locked="0"/>
    </xf>
    <xf numFmtId="0" fontId="59" fillId="0" borderId="33" xfId="0" applyFont="1" applyBorder="1" applyAlignment="1">
      <alignment horizontal="center" vertical="center"/>
    </xf>
    <xf numFmtId="0" fontId="58" fillId="16" borderId="4" xfId="0" applyFont="1" applyFill="1" applyBorder="1" applyAlignment="1">
      <alignment horizontal="center" vertical="center" wrapText="1"/>
    </xf>
    <xf numFmtId="0" fontId="58" fillId="16" borderId="8" xfId="0" applyFont="1" applyFill="1" applyBorder="1" applyAlignment="1">
      <alignment horizontal="center" vertical="center" wrapText="1"/>
    </xf>
    <xf numFmtId="0" fontId="25" fillId="0" borderId="0" xfId="0" applyFont="1" applyAlignment="1">
      <alignment horizontal="center" vertical="center" wrapText="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18" fillId="10" borderId="0" xfId="0" applyFont="1" applyFill="1" applyAlignment="1">
      <alignment horizontal="center" vertical="center" wrapText="1" readingOrder="1"/>
    </xf>
    <xf numFmtId="0" fontId="17" fillId="0" borderId="12" xfId="0" applyFont="1" applyBorder="1" applyAlignment="1">
      <alignment horizontal="center" vertical="center" wrapText="1"/>
    </xf>
    <xf numFmtId="0" fontId="17" fillId="0" borderId="19"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0" xfId="0" applyFont="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7" fillId="0" borderId="17" xfId="0" applyFont="1" applyBorder="1" applyAlignment="1">
      <alignment horizontal="center" vertical="center"/>
    </xf>
    <xf numFmtId="0" fontId="17" fillId="0" borderId="19" xfId="0" applyFont="1" applyBorder="1" applyAlignment="1">
      <alignment horizontal="center" vertical="center" wrapText="1"/>
    </xf>
    <xf numFmtId="0" fontId="18" fillId="10" borderId="0" xfId="0" applyFont="1" applyFill="1" applyAlignment="1">
      <alignment horizontal="center" vertical="center" textRotation="90" wrapText="1" readingOrder="1"/>
    </xf>
    <xf numFmtId="0" fontId="18" fillId="10" borderId="15" xfId="0" applyFont="1" applyFill="1" applyBorder="1" applyAlignment="1">
      <alignment horizontal="center" vertical="center" textRotation="90" wrapText="1" readingOrder="1"/>
    </xf>
    <xf numFmtId="0" fontId="21" fillId="12" borderId="20" xfId="0" applyFont="1" applyFill="1" applyBorder="1" applyAlignment="1">
      <alignment horizontal="center" vertical="center" wrapText="1" readingOrder="1"/>
    </xf>
    <xf numFmtId="0" fontId="21" fillId="12" borderId="21" xfId="0" applyFont="1" applyFill="1" applyBorder="1" applyAlignment="1">
      <alignment horizontal="center" vertical="center" wrapText="1" readingOrder="1"/>
    </xf>
    <xf numFmtId="0" fontId="21" fillId="12" borderId="22" xfId="0" applyFont="1" applyFill="1" applyBorder="1" applyAlignment="1">
      <alignment horizontal="center" vertical="center" wrapText="1" readingOrder="1"/>
    </xf>
    <xf numFmtId="0" fontId="21" fillId="12" borderId="23" xfId="0" applyFont="1" applyFill="1" applyBorder="1" applyAlignment="1">
      <alignment horizontal="center" vertical="center" wrapText="1" readingOrder="1"/>
    </xf>
    <xf numFmtId="0" fontId="21" fillId="12" borderId="0" xfId="0" applyFont="1" applyFill="1" applyAlignment="1">
      <alignment horizontal="center" vertical="center" wrapText="1" readingOrder="1"/>
    </xf>
    <xf numFmtId="0" fontId="21" fillId="12" borderId="24" xfId="0" applyFont="1" applyFill="1" applyBorder="1" applyAlignment="1">
      <alignment horizontal="center" vertical="center" wrapText="1" readingOrder="1"/>
    </xf>
    <xf numFmtId="0" fontId="21" fillId="12" borderId="25" xfId="0" applyFont="1" applyFill="1" applyBorder="1" applyAlignment="1">
      <alignment horizontal="center" vertical="center" wrapText="1" readingOrder="1"/>
    </xf>
    <xf numFmtId="0" fontId="21" fillId="12" borderId="26" xfId="0" applyFont="1" applyFill="1" applyBorder="1" applyAlignment="1">
      <alignment horizontal="center" vertical="center" wrapText="1" readingOrder="1"/>
    </xf>
    <xf numFmtId="0" fontId="21" fillId="12" borderId="27" xfId="0" applyFont="1" applyFill="1" applyBorder="1" applyAlignment="1">
      <alignment horizontal="center" vertical="center" wrapText="1" readingOrder="1"/>
    </xf>
    <xf numFmtId="0" fontId="21" fillId="11" borderId="20" xfId="0" applyFont="1" applyFill="1" applyBorder="1" applyAlignment="1">
      <alignment horizontal="center" vertical="center" wrapText="1" readingOrder="1"/>
    </xf>
    <xf numFmtId="0" fontId="21" fillId="11" borderId="21" xfId="0" applyFont="1" applyFill="1" applyBorder="1" applyAlignment="1">
      <alignment horizontal="center" vertical="center" wrapText="1" readingOrder="1"/>
    </xf>
    <xf numFmtId="0" fontId="21" fillId="11" borderId="22" xfId="0" applyFont="1" applyFill="1" applyBorder="1" applyAlignment="1">
      <alignment horizontal="center" vertical="center" wrapText="1" readingOrder="1"/>
    </xf>
    <xf numFmtId="0" fontId="21" fillId="11" borderId="23" xfId="0" applyFont="1" applyFill="1" applyBorder="1" applyAlignment="1">
      <alignment horizontal="center" vertical="center" wrapText="1" readingOrder="1"/>
    </xf>
    <xf numFmtId="0" fontId="21" fillId="11" borderId="0" xfId="0" applyFont="1" applyFill="1" applyAlignment="1">
      <alignment horizontal="center" vertical="center" wrapText="1" readingOrder="1"/>
    </xf>
    <xf numFmtId="0" fontId="21" fillId="11" borderId="24" xfId="0" applyFont="1" applyFill="1" applyBorder="1" applyAlignment="1">
      <alignment horizontal="center" vertical="center" wrapText="1" readingOrder="1"/>
    </xf>
    <xf numFmtId="0" fontId="21" fillId="11" borderId="25" xfId="0" applyFont="1" applyFill="1" applyBorder="1" applyAlignment="1">
      <alignment horizontal="center" vertical="center" wrapText="1" readingOrder="1"/>
    </xf>
    <xf numFmtId="0" fontId="21" fillId="11" borderId="26" xfId="0" applyFont="1" applyFill="1" applyBorder="1" applyAlignment="1">
      <alignment horizontal="center" vertical="center" wrapText="1" readingOrder="1"/>
    </xf>
    <xf numFmtId="0" fontId="21" fillId="11" borderId="27" xfId="0" applyFont="1" applyFill="1" applyBorder="1" applyAlignment="1">
      <alignment horizontal="center" vertical="center" wrapText="1" readingOrder="1"/>
    </xf>
    <xf numFmtId="0" fontId="21" fillId="13" borderId="20" xfId="0" applyFont="1" applyFill="1" applyBorder="1" applyAlignment="1">
      <alignment horizontal="center" vertical="center" wrapText="1" readingOrder="1"/>
    </xf>
    <xf numFmtId="0" fontId="21" fillId="13" borderId="21" xfId="0" applyFont="1" applyFill="1" applyBorder="1" applyAlignment="1">
      <alignment horizontal="center" vertical="center" wrapText="1" readingOrder="1"/>
    </xf>
    <xf numFmtId="0" fontId="21" fillId="13" borderId="22" xfId="0" applyFont="1" applyFill="1" applyBorder="1" applyAlignment="1">
      <alignment horizontal="center" vertical="center" wrapText="1" readingOrder="1"/>
    </xf>
    <xf numFmtId="0" fontId="21" fillId="13" borderId="23" xfId="0" applyFont="1" applyFill="1" applyBorder="1" applyAlignment="1">
      <alignment horizontal="center" vertical="center" wrapText="1" readingOrder="1"/>
    </xf>
    <xf numFmtId="0" fontId="21" fillId="13" borderId="0" xfId="0" applyFont="1" applyFill="1" applyAlignment="1">
      <alignment horizontal="center" vertical="center" wrapText="1" readingOrder="1"/>
    </xf>
    <xf numFmtId="0" fontId="21" fillId="13" borderId="24" xfId="0" applyFont="1" applyFill="1" applyBorder="1" applyAlignment="1">
      <alignment horizontal="center" vertical="center" wrapText="1" readingOrder="1"/>
    </xf>
    <xf numFmtId="0" fontId="21" fillId="13" borderId="25" xfId="0" applyFont="1" applyFill="1" applyBorder="1" applyAlignment="1">
      <alignment horizontal="center" vertical="center" wrapText="1" readingOrder="1"/>
    </xf>
    <xf numFmtId="0" fontId="21" fillId="13" borderId="26" xfId="0" applyFont="1" applyFill="1" applyBorder="1" applyAlignment="1">
      <alignment horizontal="center" vertical="center" wrapText="1" readingOrder="1"/>
    </xf>
    <xf numFmtId="0" fontId="21" fillId="13" borderId="27" xfId="0" applyFont="1" applyFill="1" applyBorder="1" applyAlignment="1">
      <alignment horizontal="center" vertical="center" wrapText="1" readingOrder="1"/>
    </xf>
    <xf numFmtId="0" fontId="21" fillId="5" borderId="20" xfId="0" applyFont="1" applyFill="1" applyBorder="1" applyAlignment="1">
      <alignment horizontal="center" vertical="center" wrapText="1" readingOrder="1"/>
    </xf>
    <xf numFmtId="0" fontId="21" fillId="5" borderId="21" xfId="0" applyFont="1" applyFill="1" applyBorder="1" applyAlignment="1">
      <alignment horizontal="center" vertical="center" wrapText="1" readingOrder="1"/>
    </xf>
    <xf numFmtId="0" fontId="21" fillId="5" borderId="22" xfId="0" applyFont="1" applyFill="1" applyBorder="1" applyAlignment="1">
      <alignment horizontal="center" vertical="center" wrapText="1" readingOrder="1"/>
    </xf>
    <xf numFmtId="0" fontId="21" fillId="5" borderId="23" xfId="0" applyFont="1" applyFill="1" applyBorder="1" applyAlignment="1">
      <alignment horizontal="center" vertical="center" wrapText="1" readingOrder="1"/>
    </xf>
    <xf numFmtId="0" fontId="21" fillId="5" borderId="0" xfId="0" applyFont="1" applyFill="1" applyAlignment="1">
      <alignment horizontal="center" vertical="center" wrapText="1" readingOrder="1"/>
    </xf>
    <xf numFmtId="0" fontId="21" fillId="5" borderId="24" xfId="0" applyFont="1" applyFill="1" applyBorder="1" applyAlignment="1">
      <alignment horizontal="center" vertical="center" wrapText="1" readingOrder="1"/>
    </xf>
    <xf numFmtId="0" fontId="21" fillId="5" borderId="25" xfId="0" applyFont="1" applyFill="1" applyBorder="1" applyAlignment="1">
      <alignment horizontal="center" vertical="center" wrapText="1" readingOrder="1"/>
    </xf>
    <xf numFmtId="0" fontId="21" fillId="5" borderId="26" xfId="0" applyFont="1" applyFill="1" applyBorder="1" applyAlignment="1">
      <alignment horizontal="center" vertical="center" wrapText="1" readingOrder="1"/>
    </xf>
    <xf numFmtId="0" fontId="21" fillId="5" borderId="27" xfId="0" applyFont="1" applyFill="1" applyBorder="1" applyAlignment="1">
      <alignment horizontal="center" vertical="center" wrapText="1" readingOrder="1"/>
    </xf>
    <xf numFmtId="0" fontId="39" fillId="0" borderId="12" xfId="0" applyFont="1" applyBorder="1" applyAlignment="1">
      <alignment horizontal="center" vertical="center" wrapText="1"/>
    </xf>
    <xf numFmtId="0" fontId="39" fillId="0" borderId="19" xfId="0" applyFont="1" applyBorder="1" applyAlignment="1">
      <alignment horizontal="center" vertical="center"/>
    </xf>
    <xf numFmtId="0" fontId="39" fillId="0" borderId="13" xfId="0" applyFont="1" applyBorder="1" applyAlignment="1">
      <alignment horizontal="center" vertical="center"/>
    </xf>
    <xf numFmtId="0" fontId="39" fillId="0" borderId="14" xfId="0" applyFont="1" applyBorder="1" applyAlignment="1">
      <alignment horizontal="center" vertical="center"/>
    </xf>
    <xf numFmtId="0" fontId="39" fillId="0" borderId="0" xfId="0" applyFont="1" applyAlignment="1">
      <alignment horizontal="center" vertical="center"/>
    </xf>
    <xf numFmtId="0" fontId="39" fillId="0" borderId="15" xfId="0" applyFont="1" applyBorder="1" applyAlignment="1">
      <alignment horizontal="center" vertical="center"/>
    </xf>
    <xf numFmtId="0" fontId="39" fillId="0" borderId="16" xfId="0" applyFont="1" applyBorder="1" applyAlignment="1">
      <alignment horizontal="center" vertical="center"/>
    </xf>
    <xf numFmtId="0" fontId="39" fillId="0" borderId="18" xfId="0" applyFont="1" applyBorder="1" applyAlignment="1">
      <alignment horizontal="center" vertical="center"/>
    </xf>
    <xf numFmtId="0" fontId="39" fillId="0" borderId="17" xfId="0" applyFont="1" applyBorder="1" applyAlignment="1">
      <alignment horizontal="center" vertical="center"/>
    </xf>
    <xf numFmtId="0" fontId="39" fillId="0" borderId="19" xfId="0" applyFont="1" applyBorder="1" applyAlignment="1">
      <alignment horizontal="center" vertical="center" wrapText="1"/>
    </xf>
    <xf numFmtId="0" fontId="38" fillId="11" borderId="20" xfId="0" applyFont="1" applyFill="1" applyBorder="1" applyAlignment="1">
      <alignment horizontal="center" vertical="center" wrapText="1" readingOrder="1"/>
    </xf>
    <xf numFmtId="0" fontId="38" fillId="11" borderId="21" xfId="0" applyFont="1" applyFill="1" applyBorder="1" applyAlignment="1">
      <alignment horizontal="center" vertical="center" wrapText="1" readingOrder="1"/>
    </xf>
    <xf numFmtId="0" fontId="38" fillId="11" borderId="22" xfId="0" applyFont="1" applyFill="1" applyBorder="1" applyAlignment="1">
      <alignment horizontal="center" vertical="center" wrapText="1" readingOrder="1"/>
    </xf>
    <xf numFmtId="0" fontId="38" fillId="11" borderId="23" xfId="0" applyFont="1" applyFill="1" applyBorder="1" applyAlignment="1">
      <alignment horizontal="center" vertical="center" wrapText="1" readingOrder="1"/>
    </xf>
    <xf numFmtId="0" fontId="38" fillId="11" borderId="0" xfId="0" applyFont="1" applyFill="1" applyAlignment="1">
      <alignment horizontal="center" vertical="center" wrapText="1" readingOrder="1"/>
    </xf>
    <xf numFmtId="0" fontId="38" fillId="11" borderId="24" xfId="0" applyFont="1" applyFill="1" applyBorder="1" applyAlignment="1">
      <alignment horizontal="center" vertical="center" wrapText="1" readingOrder="1"/>
    </xf>
    <xf numFmtId="0" fontId="38" fillId="11" borderId="25" xfId="0" applyFont="1" applyFill="1" applyBorder="1" applyAlignment="1">
      <alignment horizontal="center" vertical="center" wrapText="1" readingOrder="1"/>
    </xf>
    <xf numFmtId="0" fontId="38" fillId="11" borderId="26" xfId="0" applyFont="1" applyFill="1" applyBorder="1" applyAlignment="1">
      <alignment horizontal="center" vertical="center" wrapText="1" readingOrder="1"/>
    </xf>
    <xf numFmtId="0" fontId="38" fillId="11" borderId="27" xfId="0" applyFont="1" applyFill="1" applyBorder="1" applyAlignment="1">
      <alignment horizontal="center" vertical="center" wrapText="1" readingOrder="1"/>
    </xf>
    <xf numFmtId="0" fontId="39" fillId="0" borderId="14" xfId="0" applyFont="1" applyBorder="1" applyAlignment="1">
      <alignment horizontal="center" vertical="center" wrapText="1"/>
    </xf>
    <xf numFmtId="0" fontId="38" fillId="12" borderId="20" xfId="0" applyFont="1" applyFill="1" applyBorder="1" applyAlignment="1">
      <alignment horizontal="center" vertical="center" wrapText="1" readingOrder="1"/>
    </xf>
    <xf numFmtId="0" fontId="38" fillId="12" borderId="21" xfId="0" applyFont="1" applyFill="1" applyBorder="1" applyAlignment="1">
      <alignment horizontal="center" vertical="center" wrapText="1" readingOrder="1"/>
    </xf>
    <xf numFmtId="0" fontId="38" fillId="12" borderId="22" xfId="0" applyFont="1" applyFill="1" applyBorder="1" applyAlignment="1">
      <alignment horizontal="center" vertical="center" wrapText="1" readingOrder="1"/>
    </xf>
    <xf numFmtId="0" fontId="38" fillId="12" borderId="23" xfId="0" applyFont="1" applyFill="1" applyBorder="1" applyAlignment="1">
      <alignment horizontal="center" vertical="center" wrapText="1" readingOrder="1"/>
    </xf>
    <xf numFmtId="0" fontId="38" fillId="12" borderId="0" xfId="0" applyFont="1" applyFill="1" applyAlignment="1">
      <alignment horizontal="center" vertical="center" wrapText="1" readingOrder="1"/>
    </xf>
    <xf numFmtId="0" fontId="38" fillId="12" borderId="24" xfId="0" applyFont="1" applyFill="1" applyBorder="1" applyAlignment="1">
      <alignment horizontal="center" vertical="center" wrapText="1" readingOrder="1"/>
    </xf>
    <xf numFmtId="0" fontId="38" fillId="12" borderId="25" xfId="0" applyFont="1" applyFill="1" applyBorder="1" applyAlignment="1">
      <alignment horizontal="center" vertical="center" wrapText="1" readingOrder="1"/>
    </xf>
    <xf numFmtId="0" fontId="38" fillId="12" borderId="26" xfId="0" applyFont="1" applyFill="1" applyBorder="1" applyAlignment="1">
      <alignment horizontal="center" vertical="center" wrapText="1" readingOrder="1"/>
    </xf>
    <xf numFmtId="0" fontId="38" fillId="12" borderId="27" xfId="0" applyFont="1" applyFill="1" applyBorder="1" applyAlignment="1">
      <alignment horizontal="center" vertical="center" wrapText="1" readingOrder="1"/>
    </xf>
    <xf numFmtId="0" fontId="37" fillId="0" borderId="0" xfId="0" applyFont="1" applyAlignment="1">
      <alignment horizontal="center" vertical="center" wrapText="1"/>
    </xf>
    <xf numFmtId="0" fontId="22" fillId="0" borderId="0" xfId="0" applyFont="1" applyAlignment="1">
      <alignment horizontal="center" vertical="center" wrapText="1"/>
    </xf>
    <xf numFmtId="0" fontId="38" fillId="5" borderId="20" xfId="0" applyFont="1" applyFill="1" applyBorder="1" applyAlignment="1">
      <alignment horizontal="center" vertical="center" wrapText="1" readingOrder="1"/>
    </xf>
    <xf numFmtId="0" fontId="38" fillId="5" borderId="21" xfId="0" applyFont="1" applyFill="1" applyBorder="1" applyAlignment="1">
      <alignment horizontal="center" vertical="center" wrapText="1" readingOrder="1"/>
    </xf>
    <xf numFmtId="0" fontId="38" fillId="5" borderId="22" xfId="0" applyFont="1" applyFill="1" applyBorder="1" applyAlignment="1">
      <alignment horizontal="center" vertical="center" wrapText="1" readingOrder="1"/>
    </xf>
    <xf numFmtId="0" fontId="38" fillId="5" borderId="23" xfId="0" applyFont="1" applyFill="1" applyBorder="1" applyAlignment="1">
      <alignment horizontal="center" vertical="center" wrapText="1" readingOrder="1"/>
    </xf>
    <xf numFmtId="0" fontId="38" fillId="5" borderId="0" xfId="0" applyFont="1" applyFill="1" applyAlignment="1">
      <alignment horizontal="center" vertical="center" wrapText="1" readingOrder="1"/>
    </xf>
    <xf numFmtId="0" fontId="38" fillId="5" borderId="24" xfId="0" applyFont="1" applyFill="1" applyBorder="1" applyAlignment="1">
      <alignment horizontal="center" vertical="center" wrapText="1" readingOrder="1"/>
    </xf>
    <xf numFmtId="0" fontId="38" fillId="5" borderId="25" xfId="0" applyFont="1" applyFill="1" applyBorder="1" applyAlignment="1">
      <alignment horizontal="center" vertical="center" wrapText="1" readingOrder="1"/>
    </xf>
    <xf numFmtId="0" fontId="38" fillId="5" borderId="26" xfId="0" applyFont="1" applyFill="1" applyBorder="1" applyAlignment="1">
      <alignment horizontal="center" vertical="center" wrapText="1" readingOrder="1"/>
    </xf>
    <xf numFmtId="0" fontId="38" fillId="5" borderId="27" xfId="0" applyFont="1" applyFill="1" applyBorder="1" applyAlignment="1">
      <alignment horizontal="center" vertical="center" wrapText="1" readingOrder="1"/>
    </xf>
    <xf numFmtId="0" fontId="38" fillId="13" borderId="20" xfId="0" applyFont="1" applyFill="1" applyBorder="1" applyAlignment="1">
      <alignment horizontal="center" vertical="center" wrapText="1" readingOrder="1"/>
    </xf>
    <xf numFmtId="0" fontId="38" fillId="13" borderId="21" xfId="0" applyFont="1" applyFill="1" applyBorder="1" applyAlignment="1">
      <alignment horizontal="center" vertical="center" wrapText="1" readingOrder="1"/>
    </xf>
    <xf numFmtId="0" fontId="38" fillId="13" borderId="22" xfId="0" applyFont="1" applyFill="1" applyBorder="1" applyAlignment="1">
      <alignment horizontal="center" vertical="center" wrapText="1" readingOrder="1"/>
    </xf>
    <xf numFmtId="0" fontId="38" fillId="13" borderId="23" xfId="0" applyFont="1" applyFill="1" applyBorder="1" applyAlignment="1">
      <alignment horizontal="center" vertical="center" wrapText="1" readingOrder="1"/>
    </xf>
    <xf numFmtId="0" fontId="38" fillId="13" borderId="0" xfId="0" applyFont="1" applyFill="1" applyAlignment="1">
      <alignment horizontal="center" vertical="center" wrapText="1" readingOrder="1"/>
    </xf>
    <xf numFmtId="0" fontId="38" fillId="13" borderId="24" xfId="0" applyFont="1" applyFill="1" applyBorder="1" applyAlignment="1">
      <alignment horizontal="center" vertical="center" wrapText="1" readingOrder="1"/>
    </xf>
    <xf numFmtId="0" fontId="38" fillId="13" borderId="25" xfId="0" applyFont="1" applyFill="1" applyBorder="1" applyAlignment="1">
      <alignment horizontal="center" vertical="center" wrapText="1" readingOrder="1"/>
    </xf>
    <xf numFmtId="0" fontId="38" fillId="13" borderId="26" xfId="0" applyFont="1" applyFill="1" applyBorder="1" applyAlignment="1">
      <alignment horizontal="center" vertical="center" wrapText="1" readingOrder="1"/>
    </xf>
    <xf numFmtId="0" fontId="38" fillId="13" borderId="27" xfId="0" applyFont="1" applyFill="1" applyBorder="1" applyAlignment="1">
      <alignment horizontal="center" vertical="center" wrapText="1" readingOrder="1"/>
    </xf>
    <xf numFmtId="0" fontId="56" fillId="0" borderId="0" xfId="0" applyFont="1" applyFill="1" applyAlignment="1">
      <alignment vertical="center" wrapText="1"/>
    </xf>
    <xf numFmtId="0" fontId="61" fillId="0" borderId="80" xfId="0" applyFont="1" applyBorder="1" applyAlignment="1" applyProtection="1">
      <alignment horizontal="center" vertical="center"/>
      <protection hidden="1"/>
    </xf>
    <xf numFmtId="0" fontId="61" fillId="0" borderId="34" xfId="0" applyFont="1" applyBorder="1" applyAlignment="1" applyProtection="1">
      <alignment horizontal="center" vertical="center"/>
      <protection hidden="1"/>
    </xf>
    <xf numFmtId="0" fontId="56" fillId="0" borderId="80" xfId="0" applyFont="1" applyBorder="1" applyAlignment="1" applyProtection="1">
      <alignment horizontal="center" vertical="center"/>
      <protection locked="0"/>
    </xf>
    <xf numFmtId="0" fontId="56" fillId="0" borderId="34" xfId="0" applyFont="1" applyBorder="1" applyAlignment="1" applyProtection="1">
      <alignment horizontal="center" vertical="center"/>
      <protection locked="0"/>
    </xf>
    <xf numFmtId="0" fontId="56" fillId="0" borderId="80" xfId="0" applyFont="1" applyBorder="1" applyAlignment="1" applyProtection="1">
      <alignment horizontal="center" vertical="center" wrapText="1"/>
      <protection locked="0"/>
    </xf>
    <xf numFmtId="0" fontId="56" fillId="0" borderId="34" xfId="0" applyFont="1" applyBorder="1" applyAlignment="1" applyProtection="1">
      <alignment horizontal="center" vertical="center" wrapText="1"/>
      <protection locked="0"/>
    </xf>
    <xf numFmtId="0" fontId="56" fillId="0" borderId="80" xfId="0" applyFont="1" applyBorder="1" applyAlignment="1">
      <alignment horizontal="center" vertical="center"/>
    </xf>
    <xf numFmtId="0" fontId="56" fillId="0" borderId="34" xfId="0" applyFont="1" applyBorder="1" applyAlignment="1">
      <alignment horizontal="center" vertical="center"/>
    </xf>
  </cellXfs>
  <cellStyles count="5">
    <cellStyle name="Normal" xfId="0" builtinId="0"/>
    <cellStyle name="Normal - Style1 2" xfId="2" xr:uid="{00000000-0005-0000-0000-000001000000}"/>
    <cellStyle name="Normal 2" xfId="4" xr:uid="{00000000-0005-0000-0000-000002000000}"/>
    <cellStyle name="Normal 2 2" xfId="3" xr:uid="{00000000-0005-0000-0000-000003000000}"/>
    <cellStyle name="Porcentaje" xfId="1" builtinId="5"/>
  </cellStyles>
  <dxfs count="449">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FF00"/>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448" dataDxfId="447">
  <autoFilter ref="B209:C219" xr:uid="{00000000-0009-0000-0100-000001000000}"/>
  <tableColumns count="2">
    <tableColumn id="1" xr3:uid="{00000000-0010-0000-0000-000001000000}" name="Criterios" dataDxfId="446"/>
    <tableColumn id="2" xr3:uid="{00000000-0010-0000-0000-000002000000}" name="Subcriterios" dataDxfId="445"/>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6"/>
  <dimension ref="B1:H45"/>
  <sheetViews>
    <sheetView topLeftCell="B37" zoomScale="130" zoomScaleNormal="130" workbookViewId="0">
      <selection activeCell="E27" sqref="E27:F27"/>
    </sheetView>
  </sheetViews>
  <sheetFormatPr baseColWidth="10" defaultColWidth="11.28515625" defaultRowHeight="15" x14ac:dyDescent="0.25"/>
  <cols>
    <col min="1" max="1" width="2.85546875" style="73" customWidth="1"/>
    <col min="2" max="3" width="24.85546875" style="73" customWidth="1"/>
    <col min="4" max="4" width="16" style="73" customWidth="1"/>
    <col min="5" max="5" width="24.85546875" style="73" customWidth="1"/>
    <col min="6" max="6" width="27.85546875" style="73" customWidth="1"/>
    <col min="7" max="8" width="24.85546875" style="73" customWidth="1"/>
    <col min="9" max="16384" width="11.28515625" style="73"/>
  </cols>
  <sheetData>
    <row r="1" spans="2:8" ht="15.75" thickBot="1" x14ac:dyDescent="0.3"/>
    <row r="2" spans="2:8" ht="18" x14ac:dyDescent="0.25">
      <c r="B2" s="419" t="s">
        <v>0</v>
      </c>
      <c r="C2" s="420"/>
      <c r="D2" s="420"/>
      <c r="E2" s="420"/>
      <c r="F2" s="420"/>
      <c r="G2" s="420"/>
      <c r="H2" s="421"/>
    </row>
    <row r="3" spans="2:8" x14ac:dyDescent="0.25">
      <c r="B3" s="74"/>
      <c r="C3" s="75"/>
      <c r="D3" s="75"/>
      <c r="E3" s="75"/>
      <c r="F3" s="75"/>
      <c r="G3" s="75"/>
      <c r="H3" s="76"/>
    </row>
    <row r="4" spans="2:8" ht="63" customHeight="1" x14ac:dyDescent="0.25">
      <c r="B4" s="422" t="s">
        <v>1</v>
      </c>
      <c r="C4" s="423"/>
      <c r="D4" s="423"/>
      <c r="E4" s="423"/>
      <c r="F4" s="423"/>
      <c r="G4" s="423"/>
      <c r="H4" s="424"/>
    </row>
    <row r="5" spans="2:8" ht="63" customHeight="1" x14ac:dyDescent="0.25">
      <c r="B5" s="425"/>
      <c r="C5" s="426"/>
      <c r="D5" s="426"/>
      <c r="E5" s="426"/>
      <c r="F5" s="426"/>
      <c r="G5" s="426"/>
      <c r="H5" s="427"/>
    </row>
    <row r="6" spans="2:8" ht="16.5" x14ac:dyDescent="0.25">
      <c r="B6" s="428" t="s">
        <v>2</v>
      </c>
      <c r="C6" s="429"/>
      <c r="D6" s="429"/>
      <c r="E6" s="429"/>
      <c r="F6" s="429"/>
      <c r="G6" s="429"/>
      <c r="H6" s="430"/>
    </row>
    <row r="7" spans="2:8" ht="95.25" customHeight="1" x14ac:dyDescent="0.25">
      <c r="B7" s="438" t="s">
        <v>3</v>
      </c>
      <c r="C7" s="439"/>
      <c r="D7" s="439"/>
      <c r="E7" s="439"/>
      <c r="F7" s="439"/>
      <c r="G7" s="439"/>
      <c r="H7" s="440"/>
    </row>
    <row r="8" spans="2:8" ht="16.5" x14ac:dyDescent="0.25">
      <c r="B8" s="108"/>
      <c r="C8" s="109"/>
      <c r="D8" s="109"/>
      <c r="E8" s="109"/>
      <c r="F8" s="109"/>
      <c r="G8" s="109"/>
      <c r="H8" s="110"/>
    </row>
    <row r="9" spans="2:8" ht="16.5" customHeight="1" x14ac:dyDescent="0.25">
      <c r="B9" s="431" t="s">
        <v>4</v>
      </c>
      <c r="C9" s="432"/>
      <c r="D9" s="432"/>
      <c r="E9" s="432"/>
      <c r="F9" s="432"/>
      <c r="G9" s="432"/>
      <c r="H9" s="433"/>
    </row>
    <row r="10" spans="2:8" ht="44.65" customHeight="1" x14ac:dyDescent="0.25">
      <c r="B10" s="431"/>
      <c r="C10" s="432"/>
      <c r="D10" s="432"/>
      <c r="E10" s="432"/>
      <c r="F10" s="432"/>
      <c r="G10" s="432"/>
      <c r="H10" s="433"/>
    </row>
    <row r="11" spans="2:8" ht="15.75" thickBot="1" x14ac:dyDescent="0.3">
      <c r="B11" s="97"/>
      <c r="C11" s="100"/>
      <c r="D11" s="105"/>
      <c r="E11" s="106"/>
      <c r="F11" s="106"/>
      <c r="G11" s="107"/>
      <c r="H11" s="101"/>
    </row>
    <row r="12" spans="2:8" ht="15.75" thickTop="1" x14ac:dyDescent="0.25">
      <c r="B12" s="97"/>
      <c r="C12" s="434" t="s">
        <v>5</v>
      </c>
      <c r="D12" s="435"/>
      <c r="E12" s="436" t="s">
        <v>6</v>
      </c>
      <c r="F12" s="437"/>
      <c r="G12" s="100"/>
      <c r="H12" s="101"/>
    </row>
    <row r="13" spans="2:8" ht="35.65" customHeight="1" x14ac:dyDescent="0.25">
      <c r="B13" s="97"/>
      <c r="C13" s="441" t="s">
        <v>7</v>
      </c>
      <c r="D13" s="442"/>
      <c r="E13" s="443" t="s">
        <v>8</v>
      </c>
      <c r="F13" s="444"/>
      <c r="G13" s="100"/>
      <c r="H13" s="101"/>
    </row>
    <row r="14" spans="2:8" ht="17.649999999999999" customHeight="1" x14ac:dyDescent="0.25">
      <c r="B14" s="97"/>
      <c r="C14" s="441" t="s">
        <v>9</v>
      </c>
      <c r="D14" s="442"/>
      <c r="E14" s="443" t="s">
        <v>10</v>
      </c>
      <c r="F14" s="444"/>
      <c r="G14" s="100"/>
      <c r="H14" s="101"/>
    </row>
    <row r="15" spans="2:8" ht="19.5" customHeight="1" x14ac:dyDescent="0.25">
      <c r="B15" s="97"/>
      <c r="C15" s="441" t="s">
        <v>11</v>
      </c>
      <c r="D15" s="442"/>
      <c r="E15" s="443" t="s">
        <v>12</v>
      </c>
      <c r="F15" s="444"/>
      <c r="G15" s="100"/>
      <c r="H15" s="101"/>
    </row>
    <row r="16" spans="2:8" ht="69.75" customHeight="1" x14ac:dyDescent="0.25">
      <c r="B16" s="97"/>
      <c r="C16" s="441" t="s">
        <v>13</v>
      </c>
      <c r="D16" s="442"/>
      <c r="E16" s="443" t="s">
        <v>14</v>
      </c>
      <c r="F16" s="444"/>
      <c r="G16" s="100"/>
      <c r="H16" s="101"/>
    </row>
    <row r="17" spans="2:8" ht="34.5" customHeight="1" x14ac:dyDescent="0.25">
      <c r="B17" s="97"/>
      <c r="C17" s="445" t="s">
        <v>15</v>
      </c>
      <c r="D17" s="446"/>
      <c r="E17" s="447" t="s">
        <v>16</v>
      </c>
      <c r="F17" s="448"/>
      <c r="G17" s="100"/>
      <c r="H17" s="101"/>
    </row>
    <row r="18" spans="2:8" ht="27.75" customHeight="1" x14ac:dyDescent="0.25">
      <c r="B18" s="97"/>
      <c r="C18" s="445" t="s">
        <v>17</v>
      </c>
      <c r="D18" s="446"/>
      <c r="E18" s="447" t="s">
        <v>18</v>
      </c>
      <c r="F18" s="448"/>
      <c r="G18" s="100"/>
      <c r="H18" s="101"/>
    </row>
    <row r="19" spans="2:8" ht="28.5" customHeight="1" x14ac:dyDescent="0.25">
      <c r="B19" s="97"/>
      <c r="C19" s="445" t="s">
        <v>19</v>
      </c>
      <c r="D19" s="446"/>
      <c r="E19" s="447" t="s">
        <v>20</v>
      </c>
      <c r="F19" s="448"/>
      <c r="G19" s="100"/>
      <c r="H19" s="101"/>
    </row>
    <row r="20" spans="2:8" ht="72.75" customHeight="1" x14ac:dyDescent="0.25">
      <c r="B20" s="97"/>
      <c r="C20" s="445" t="s">
        <v>21</v>
      </c>
      <c r="D20" s="446"/>
      <c r="E20" s="447" t="s">
        <v>22</v>
      </c>
      <c r="F20" s="448"/>
      <c r="G20" s="100"/>
      <c r="H20" s="101"/>
    </row>
    <row r="21" spans="2:8" ht="64.5" customHeight="1" x14ac:dyDescent="0.25">
      <c r="B21" s="97"/>
      <c r="C21" s="445" t="s">
        <v>23</v>
      </c>
      <c r="D21" s="446"/>
      <c r="E21" s="447" t="s">
        <v>24</v>
      </c>
      <c r="F21" s="448"/>
      <c r="G21" s="100"/>
      <c r="H21" s="101"/>
    </row>
    <row r="22" spans="2:8" ht="71.650000000000006" customHeight="1" x14ac:dyDescent="0.25">
      <c r="B22" s="97"/>
      <c r="C22" s="445" t="s">
        <v>25</v>
      </c>
      <c r="D22" s="446"/>
      <c r="E22" s="447" t="s">
        <v>26</v>
      </c>
      <c r="F22" s="448"/>
      <c r="G22" s="100"/>
      <c r="H22" s="101"/>
    </row>
    <row r="23" spans="2:8" ht="55.5" customHeight="1" x14ac:dyDescent="0.25">
      <c r="B23" s="97"/>
      <c r="C23" s="452" t="s">
        <v>27</v>
      </c>
      <c r="D23" s="453"/>
      <c r="E23" s="447" t="s">
        <v>28</v>
      </c>
      <c r="F23" s="448"/>
      <c r="G23" s="100"/>
      <c r="H23" s="101"/>
    </row>
    <row r="24" spans="2:8" ht="42" customHeight="1" x14ac:dyDescent="0.25">
      <c r="B24" s="97"/>
      <c r="C24" s="452" t="s">
        <v>29</v>
      </c>
      <c r="D24" s="453"/>
      <c r="E24" s="447" t="s">
        <v>30</v>
      </c>
      <c r="F24" s="448"/>
      <c r="G24" s="100"/>
      <c r="H24" s="101"/>
    </row>
    <row r="25" spans="2:8" ht="59.25" customHeight="1" x14ac:dyDescent="0.25">
      <c r="B25" s="97"/>
      <c r="C25" s="452" t="s">
        <v>31</v>
      </c>
      <c r="D25" s="453"/>
      <c r="E25" s="447" t="s">
        <v>32</v>
      </c>
      <c r="F25" s="448"/>
      <c r="G25" s="100"/>
      <c r="H25" s="101"/>
    </row>
    <row r="26" spans="2:8" ht="23.25" customHeight="1" x14ac:dyDescent="0.25">
      <c r="B26" s="97"/>
      <c r="C26" s="452" t="s">
        <v>33</v>
      </c>
      <c r="D26" s="453"/>
      <c r="E26" s="447" t="s">
        <v>34</v>
      </c>
      <c r="F26" s="448"/>
      <c r="G26" s="100"/>
      <c r="H26" s="101"/>
    </row>
    <row r="27" spans="2:8" ht="30.75" customHeight="1" x14ac:dyDescent="0.25">
      <c r="B27" s="97"/>
      <c r="C27" s="452" t="s">
        <v>35</v>
      </c>
      <c r="D27" s="453"/>
      <c r="E27" s="447" t="s">
        <v>36</v>
      </c>
      <c r="F27" s="448"/>
      <c r="G27" s="100"/>
      <c r="H27" s="101"/>
    </row>
    <row r="28" spans="2:8" ht="35.65" customHeight="1" x14ac:dyDescent="0.25">
      <c r="B28" s="97"/>
      <c r="C28" s="452" t="s">
        <v>37</v>
      </c>
      <c r="D28" s="453"/>
      <c r="E28" s="447" t="s">
        <v>38</v>
      </c>
      <c r="F28" s="448"/>
      <c r="G28" s="100"/>
      <c r="H28" s="101"/>
    </row>
    <row r="29" spans="2:8" ht="33" customHeight="1" x14ac:dyDescent="0.25">
      <c r="B29" s="97"/>
      <c r="C29" s="452" t="s">
        <v>37</v>
      </c>
      <c r="D29" s="453"/>
      <c r="E29" s="447" t="s">
        <v>38</v>
      </c>
      <c r="F29" s="448"/>
      <c r="G29" s="100"/>
      <c r="H29" s="101"/>
    </row>
    <row r="30" spans="2:8" ht="30.4" customHeight="1" x14ac:dyDescent="0.25">
      <c r="B30" s="97"/>
      <c r="C30" s="452" t="s">
        <v>39</v>
      </c>
      <c r="D30" s="453"/>
      <c r="E30" s="447" t="s">
        <v>40</v>
      </c>
      <c r="F30" s="448"/>
      <c r="G30" s="100"/>
      <c r="H30" s="101"/>
    </row>
    <row r="31" spans="2:8" ht="35.65" customHeight="1" x14ac:dyDescent="0.25">
      <c r="B31" s="97"/>
      <c r="C31" s="452" t="s">
        <v>41</v>
      </c>
      <c r="D31" s="453"/>
      <c r="E31" s="447" t="s">
        <v>42</v>
      </c>
      <c r="F31" s="448"/>
      <c r="G31" s="100"/>
      <c r="H31" s="101"/>
    </row>
    <row r="32" spans="2:8" ht="31.9" customHeight="1" x14ac:dyDescent="0.25">
      <c r="B32" s="97"/>
      <c r="C32" s="452" t="s">
        <v>43</v>
      </c>
      <c r="D32" s="453"/>
      <c r="E32" s="447" t="s">
        <v>44</v>
      </c>
      <c r="F32" s="448"/>
      <c r="G32" s="100"/>
      <c r="H32" s="101"/>
    </row>
    <row r="33" spans="2:8" ht="35.65" customHeight="1" x14ac:dyDescent="0.25">
      <c r="B33" s="97"/>
      <c r="C33" s="452" t="s">
        <v>45</v>
      </c>
      <c r="D33" s="453"/>
      <c r="E33" s="447" t="s">
        <v>46</v>
      </c>
      <c r="F33" s="448"/>
      <c r="G33" s="100"/>
      <c r="H33" s="101"/>
    </row>
    <row r="34" spans="2:8" ht="59.25" customHeight="1" x14ac:dyDescent="0.25">
      <c r="B34" s="97"/>
      <c r="C34" s="452" t="s">
        <v>47</v>
      </c>
      <c r="D34" s="453"/>
      <c r="E34" s="447" t="s">
        <v>48</v>
      </c>
      <c r="F34" s="448"/>
      <c r="G34" s="100"/>
      <c r="H34" s="101"/>
    </row>
    <row r="35" spans="2:8" ht="29.25" customHeight="1" x14ac:dyDescent="0.25">
      <c r="B35" s="97"/>
      <c r="C35" s="452" t="s">
        <v>49</v>
      </c>
      <c r="D35" s="453"/>
      <c r="E35" s="447" t="s">
        <v>50</v>
      </c>
      <c r="F35" s="448"/>
      <c r="G35" s="100"/>
      <c r="H35" s="101"/>
    </row>
    <row r="36" spans="2:8" ht="82.5" customHeight="1" x14ac:dyDescent="0.25">
      <c r="B36" s="97"/>
      <c r="C36" s="452" t="s">
        <v>51</v>
      </c>
      <c r="D36" s="453"/>
      <c r="E36" s="447" t="s">
        <v>52</v>
      </c>
      <c r="F36" s="448"/>
      <c r="G36" s="100"/>
      <c r="H36" s="101"/>
    </row>
    <row r="37" spans="2:8" ht="46.5" customHeight="1" x14ac:dyDescent="0.25">
      <c r="B37" s="97"/>
      <c r="C37" s="452" t="s">
        <v>53</v>
      </c>
      <c r="D37" s="453"/>
      <c r="E37" s="447" t="s">
        <v>54</v>
      </c>
      <c r="F37" s="448"/>
      <c r="G37" s="100"/>
      <c r="H37" s="101"/>
    </row>
    <row r="38" spans="2:8" ht="6.75" customHeight="1" thickBot="1" x14ac:dyDescent="0.3">
      <c r="B38" s="97"/>
      <c r="C38" s="454"/>
      <c r="D38" s="455"/>
      <c r="E38" s="456"/>
      <c r="F38" s="457"/>
      <c r="G38" s="100"/>
      <c r="H38" s="101"/>
    </row>
    <row r="39" spans="2:8" ht="15.75" thickTop="1" x14ac:dyDescent="0.25">
      <c r="B39" s="97"/>
      <c r="C39" s="98"/>
      <c r="D39" s="98"/>
      <c r="E39" s="99"/>
      <c r="F39" s="99"/>
      <c r="G39" s="100"/>
      <c r="H39" s="101"/>
    </row>
    <row r="40" spans="2:8" ht="21.4" customHeight="1" x14ac:dyDescent="0.25">
      <c r="B40" s="449" t="s">
        <v>55</v>
      </c>
      <c r="C40" s="450"/>
      <c r="D40" s="450"/>
      <c r="E40" s="450"/>
      <c r="F40" s="450"/>
      <c r="G40" s="450"/>
      <c r="H40" s="451"/>
    </row>
    <row r="41" spans="2:8" ht="20.25" customHeight="1" x14ac:dyDescent="0.25">
      <c r="B41" s="449" t="s">
        <v>56</v>
      </c>
      <c r="C41" s="450"/>
      <c r="D41" s="450"/>
      <c r="E41" s="450"/>
      <c r="F41" s="450"/>
      <c r="G41" s="450"/>
      <c r="H41" s="451"/>
    </row>
    <row r="42" spans="2:8" ht="20.25" customHeight="1" x14ac:dyDescent="0.25">
      <c r="B42" s="449" t="s">
        <v>57</v>
      </c>
      <c r="C42" s="450"/>
      <c r="D42" s="450"/>
      <c r="E42" s="450"/>
      <c r="F42" s="450"/>
      <c r="G42" s="450"/>
      <c r="H42" s="451"/>
    </row>
    <row r="43" spans="2:8" ht="20.25" customHeight="1" x14ac:dyDescent="0.25">
      <c r="B43" s="449" t="s">
        <v>58</v>
      </c>
      <c r="C43" s="450"/>
      <c r="D43" s="450"/>
      <c r="E43" s="450"/>
      <c r="F43" s="450"/>
      <c r="G43" s="450"/>
      <c r="H43" s="451"/>
    </row>
    <row r="44" spans="2:8" x14ac:dyDescent="0.25">
      <c r="B44" s="449" t="s">
        <v>59</v>
      </c>
      <c r="C44" s="450"/>
      <c r="D44" s="450"/>
      <c r="E44" s="450"/>
      <c r="F44" s="450"/>
      <c r="G44" s="450"/>
      <c r="H44" s="451"/>
    </row>
    <row r="45" spans="2:8" ht="15.75" thickBot="1" x14ac:dyDescent="0.3">
      <c r="B45" s="102"/>
      <c r="C45" s="103"/>
      <c r="D45" s="103"/>
      <c r="E45" s="103"/>
      <c r="F45" s="103"/>
      <c r="G45" s="103"/>
      <c r="H45" s="104"/>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9">
    <tabColor rgb="FF00B0F0"/>
  </sheetPr>
  <dimension ref="A1:AK55"/>
  <sheetViews>
    <sheetView zoomScale="90" zoomScaleNormal="90" workbookViewId="0">
      <selection activeCell="C4" sqref="C4"/>
    </sheetView>
  </sheetViews>
  <sheetFormatPr baseColWidth="10" defaultColWidth="11.28515625" defaultRowHeight="15" x14ac:dyDescent="0.25"/>
  <cols>
    <col min="2" max="2" width="24.140625" customWidth="1"/>
    <col min="3" max="3" width="70.140625" customWidth="1"/>
    <col min="4" max="4" width="29.85546875" customWidth="1"/>
  </cols>
  <sheetData>
    <row r="1" spans="1:37" ht="23.25" x14ac:dyDescent="0.25">
      <c r="A1" s="73"/>
      <c r="B1" s="458" t="s">
        <v>124</v>
      </c>
      <c r="C1" s="458"/>
      <c r="D1" s="458"/>
      <c r="E1" s="73"/>
      <c r="F1" s="73"/>
      <c r="G1" s="73"/>
      <c r="H1" s="73"/>
      <c r="I1" s="73"/>
      <c r="J1" s="73"/>
      <c r="K1" s="73"/>
      <c r="L1" s="73"/>
      <c r="M1" s="73"/>
      <c r="N1" s="73"/>
      <c r="O1" s="73"/>
      <c r="P1" s="73"/>
      <c r="Q1" s="73"/>
      <c r="R1" s="73"/>
      <c r="S1" s="73"/>
      <c r="T1" s="73"/>
      <c r="U1" s="73"/>
      <c r="V1" s="73"/>
      <c r="W1" s="73"/>
      <c r="X1" s="73"/>
      <c r="Y1" s="73"/>
      <c r="Z1" s="73"/>
      <c r="AA1" s="73"/>
      <c r="AB1" s="73"/>
      <c r="AC1" s="73"/>
      <c r="AD1" s="73"/>
      <c r="AE1" s="73"/>
    </row>
    <row r="2" spans="1:37" x14ac:dyDescent="0.25">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row>
    <row r="3" spans="1:37" ht="25.5" x14ac:dyDescent="0.25">
      <c r="A3" s="73"/>
      <c r="B3" s="11"/>
      <c r="C3" s="12" t="s">
        <v>125</v>
      </c>
      <c r="D3" s="12" t="s">
        <v>108</v>
      </c>
      <c r="E3" s="73"/>
      <c r="F3" s="73"/>
      <c r="G3" s="73"/>
      <c r="H3" s="73"/>
      <c r="I3" s="73"/>
      <c r="J3" s="73"/>
      <c r="K3" s="73"/>
      <c r="L3" s="73"/>
      <c r="M3" s="73"/>
      <c r="N3" s="73"/>
      <c r="O3" s="73"/>
      <c r="P3" s="73"/>
      <c r="Q3" s="73"/>
      <c r="R3" s="73"/>
      <c r="S3" s="73"/>
      <c r="T3" s="73"/>
      <c r="U3" s="73"/>
      <c r="V3" s="73"/>
      <c r="W3" s="73"/>
      <c r="X3" s="73"/>
      <c r="Y3" s="73"/>
      <c r="Z3" s="73"/>
      <c r="AA3" s="73"/>
      <c r="AB3" s="73"/>
      <c r="AC3" s="73"/>
      <c r="AD3" s="73"/>
      <c r="AE3" s="73"/>
    </row>
    <row r="4" spans="1:37" ht="51" x14ac:dyDescent="0.25">
      <c r="A4" s="73"/>
      <c r="B4" s="13" t="s">
        <v>126</v>
      </c>
      <c r="C4" s="14" t="s">
        <v>127</v>
      </c>
      <c r="D4" s="15">
        <v>0.2</v>
      </c>
      <c r="E4" s="73"/>
      <c r="F4" s="73"/>
      <c r="G4" s="73"/>
      <c r="H4" s="73"/>
      <c r="I4" s="73"/>
      <c r="J4" s="73"/>
      <c r="K4" s="73"/>
      <c r="L4" s="73"/>
      <c r="M4" s="73"/>
      <c r="N4" s="73"/>
      <c r="O4" s="73"/>
      <c r="P4" s="73"/>
      <c r="Q4" s="73"/>
      <c r="R4" s="73"/>
      <c r="S4" s="73"/>
      <c r="T4" s="73"/>
      <c r="U4" s="73"/>
      <c r="V4" s="73"/>
      <c r="W4" s="73"/>
      <c r="X4" s="73"/>
      <c r="Y4" s="73"/>
      <c r="Z4" s="73"/>
      <c r="AA4" s="73"/>
      <c r="AB4" s="73"/>
      <c r="AC4" s="73"/>
      <c r="AD4" s="73"/>
      <c r="AE4" s="73"/>
    </row>
    <row r="5" spans="1:37" ht="51" x14ac:dyDescent="0.25">
      <c r="A5" s="73"/>
      <c r="B5" s="16" t="s">
        <v>128</v>
      </c>
      <c r="C5" s="17" t="s">
        <v>129</v>
      </c>
      <c r="D5" s="18">
        <v>0.4</v>
      </c>
      <c r="E5" s="73"/>
      <c r="F5" s="73"/>
      <c r="G5" s="73"/>
      <c r="H5" s="73"/>
      <c r="I5" s="73"/>
      <c r="J5" s="73"/>
      <c r="K5" s="73"/>
      <c r="L5" s="73"/>
      <c r="M5" s="73"/>
      <c r="N5" s="73"/>
      <c r="O5" s="73"/>
      <c r="P5" s="73"/>
      <c r="Q5" s="73"/>
      <c r="R5" s="73"/>
      <c r="S5" s="73"/>
      <c r="T5" s="73"/>
      <c r="U5" s="73"/>
      <c r="V5" s="73"/>
      <c r="W5" s="73"/>
      <c r="X5" s="73"/>
      <c r="Y5" s="73"/>
      <c r="Z5" s="73"/>
      <c r="AA5" s="73"/>
      <c r="AB5" s="73"/>
      <c r="AC5" s="73"/>
      <c r="AD5" s="73"/>
      <c r="AE5" s="73"/>
    </row>
    <row r="6" spans="1:37" ht="51" x14ac:dyDescent="0.25">
      <c r="A6" s="73"/>
      <c r="B6" s="19" t="s">
        <v>130</v>
      </c>
      <c r="C6" s="17" t="s">
        <v>131</v>
      </c>
      <c r="D6" s="18">
        <v>0.6</v>
      </c>
      <c r="E6" s="73"/>
      <c r="F6" s="73"/>
      <c r="G6" s="73"/>
      <c r="H6" s="73"/>
      <c r="I6" s="73"/>
      <c r="J6" s="73"/>
      <c r="K6" s="73"/>
      <c r="L6" s="73"/>
      <c r="M6" s="73"/>
      <c r="N6" s="73"/>
      <c r="O6" s="73"/>
      <c r="P6" s="73"/>
      <c r="Q6" s="73"/>
      <c r="R6" s="73"/>
      <c r="S6" s="73"/>
      <c r="T6" s="73"/>
      <c r="U6" s="73"/>
      <c r="V6" s="73"/>
      <c r="W6" s="73"/>
      <c r="X6" s="73"/>
      <c r="Y6" s="73"/>
      <c r="Z6" s="73"/>
      <c r="AA6" s="73"/>
      <c r="AB6" s="73"/>
      <c r="AC6" s="73"/>
      <c r="AD6" s="73"/>
      <c r="AE6" s="73"/>
    </row>
    <row r="7" spans="1:37" ht="76.5" x14ac:dyDescent="0.25">
      <c r="A7" s="73"/>
      <c r="B7" s="20" t="s">
        <v>132</v>
      </c>
      <c r="C7" s="17" t="s">
        <v>133</v>
      </c>
      <c r="D7" s="18">
        <v>0.8</v>
      </c>
      <c r="E7" s="73"/>
      <c r="F7" s="73"/>
      <c r="G7" s="73"/>
      <c r="H7" s="73"/>
      <c r="I7" s="73"/>
      <c r="J7" s="73"/>
      <c r="K7" s="73"/>
      <c r="L7" s="73"/>
      <c r="M7" s="73"/>
      <c r="N7" s="73"/>
      <c r="O7" s="73"/>
      <c r="P7" s="73"/>
      <c r="Q7" s="73"/>
      <c r="R7" s="73"/>
      <c r="S7" s="73"/>
      <c r="T7" s="73"/>
      <c r="U7" s="73"/>
      <c r="V7" s="73"/>
      <c r="W7" s="73"/>
      <c r="X7" s="73"/>
      <c r="Y7" s="73"/>
      <c r="Z7" s="73"/>
      <c r="AA7" s="73"/>
      <c r="AB7" s="73"/>
      <c r="AC7" s="73"/>
      <c r="AD7" s="73"/>
      <c r="AE7" s="73"/>
    </row>
    <row r="8" spans="1:37" ht="51" x14ac:dyDescent="0.25">
      <c r="A8" s="73"/>
      <c r="B8" s="21" t="s">
        <v>134</v>
      </c>
      <c r="C8" s="17" t="s">
        <v>135</v>
      </c>
      <c r="D8" s="18">
        <v>1</v>
      </c>
      <c r="E8" s="73"/>
      <c r="F8" s="73"/>
      <c r="G8" s="73"/>
      <c r="H8" s="73"/>
      <c r="I8" s="73"/>
      <c r="J8" s="73"/>
      <c r="K8" s="73"/>
      <c r="L8" s="73"/>
      <c r="M8" s="73"/>
      <c r="N8" s="73"/>
      <c r="O8" s="73"/>
      <c r="P8" s="73"/>
      <c r="Q8" s="73"/>
      <c r="R8" s="73"/>
      <c r="S8" s="73"/>
      <c r="T8" s="73"/>
      <c r="U8" s="73"/>
      <c r="V8" s="73"/>
      <c r="W8" s="73"/>
      <c r="X8" s="73"/>
      <c r="Y8" s="73"/>
      <c r="Z8" s="73"/>
      <c r="AA8" s="73"/>
      <c r="AB8" s="73"/>
      <c r="AC8" s="73"/>
      <c r="AD8" s="73"/>
      <c r="AE8" s="73"/>
    </row>
    <row r="9" spans="1:37" x14ac:dyDescent="0.25">
      <c r="A9" s="73"/>
      <c r="B9" s="95"/>
      <c r="C9" s="95"/>
      <c r="D9" s="95"/>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row>
    <row r="10" spans="1:37" ht="16.5" x14ac:dyDescent="0.25">
      <c r="A10" s="73"/>
      <c r="B10" s="96"/>
      <c r="C10" s="95"/>
      <c r="D10" s="95"/>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row>
    <row r="11" spans="1:37" x14ac:dyDescent="0.25">
      <c r="A11" s="73"/>
      <c r="B11" s="95"/>
      <c r="C11" s="95"/>
      <c r="D11" s="95"/>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row>
    <row r="12" spans="1:37" x14ac:dyDescent="0.25">
      <c r="A12" s="73"/>
      <c r="B12" s="95"/>
      <c r="C12" s="95"/>
      <c r="D12" s="95"/>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row>
    <row r="13" spans="1:37" x14ac:dyDescent="0.25">
      <c r="A13" s="73"/>
      <c r="B13" s="95"/>
      <c r="C13" s="95"/>
      <c r="D13" s="95"/>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row>
    <row r="14" spans="1:37" x14ac:dyDescent="0.25">
      <c r="A14" s="73"/>
      <c r="B14" s="95"/>
      <c r="C14" s="95"/>
      <c r="D14" s="95"/>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row>
    <row r="15" spans="1:37" x14ac:dyDescent="0.25">
      <c r="A15" s="73"/>
      <c r="B15" s="95"/>
      <c r="C15" s="95"/>
      <c r="D15" s="95"/>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row>
    <row r="16" spans="1:37" x14ac:dyDescent="0.25">
      <c r="A16" s="73"/>
      <c r="B16" s="95"/>
      <c r="C16" s="95"/>
      <c r="D16" s="95"/>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row>
    <row r="17" spans="1:37" x14ac:dyDescent="0.25">
      <c r="A17" s="73"/>
      <c r="B17" s="95"/>
      <c r="C17" s="95"/>
      <c r="D17" s="95"/>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row>
    <row r="18" spans="1:37" x14ac:dyDescent="0.25">
      <c r="A18" s="73"/>
      <c r="B18" s="95"/>
      <c r="C18" s="95"/>
      <c r="D18" s="95"/>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row>
    <row r="19" spans="1:37" x14ac:dyDescent="0.25">
      <c r="A19" s="73"/>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row>
    <row r="20" spans="1:37" x14ac:dyDescent="0.25">
      <c r="A20" s="73"/>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row>
    <row r="21" spans="1:37" x14ac:dyDescent="0.25">
      <c r="A21" s="73"/>
      <c r="B21" s="73"/>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row>
    <row r="22" spans="1:37" x14ac:dyDescent="0.25">
      <c r="A22" s="73"/>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row>
    <row r="23" spans="1:37" x14ac:dyDescent="0.25">
      <c r="A23" s="73"/>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row>
    <row r="24" spans="1:37" x14ac:dyDescent="0.25">
      <c r="A24" s="73"/>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row>
    <row r="25" spans="1:37" x14ac:dyDescent="0.25">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row>
    <row r="26" spans="1:37" x14ac:dyDescent="0.25">
      <c r="A26" s="73"/>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row>
    <row r="27" spans="1:37" x14ac:dyDescent="0.25">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row>
    <row r="28" spans="1:37" x14ac:dyDescent="0.25">
      <c r="A28" s="73"/>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row>
    <row r="29" spans="1:37" x14ac:dyDescent="0.25">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row>
    <row r="30" spans="1:37" x14ac:dyDescent="0.25">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row>
    <row r="31" spans="1:37" x14ac:dyDescent="0.25">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row>
    <row r="32" spans="1:37" x14ac:dyDescent="0.25">
      <c r="A32" s="73"/>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row>
    <row r="33" spans="1:31" x14ac:dyDescent="0.25">
      <c r="A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row>
    <row r="34" spans="1:31" x14ac:dyDescent="0.25">
      <c r="A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row>
    <row r="35" spans="1:31" x14ac:dyDescent="0.25">
      <c r="A35" s="73"/>
    </row>
    <row r="36" spans="1:31" x14ac:dyDescent="0.25">
      <c r="A36" s="73"/>
    </row>
    <row r="37" spans="1:31" x14ac:dyDescent="0.25">
      <c r="A37" s="73"/>
    </row>
    <row r="38" spans="1:31" x14ac:dyDescent="0.25">
      <c r="A38" s="73"/>
    </row>
    <row r="39" spans="1:31" x14ac:dyDescent="0.25">
      <c r="A39" s="73"/>
    </row>
    <row r="40" spans="1:31" x14ac:dyDescent="0.25">
      <c r="A40" s="73"/>
    </row>
    <row r="41" spans="1:31" x14ac:dyDescent="0.25">
      <c r="A41" s="73"/>
    </row>
    <row r="42" spans="1:31" x14ac:dyDescent="0.25">
      <c r="A42" s="73"/>
    </row>
    <row r="43" spans="1:31" x14ac:dyDescent="0.25">
      <c r="A43" s="73"/>
    </row>
    <row r="44" spans="1:31" x14ac:dyDescent="0.25">
      <c r="A44" s="73"/>
    </row>
    <row r="45" spans="1:31" x14ac:dyDescent="0.25">
      <c r="A45" s="73"/>
    </row>
    <row r="46" spans="1:31" x14ac:dyDescent="0.25">
      <c r="A46" s="73"/>
    </row>
    <row r="47" spans="1:31" x14ac:dyDescent="0.25">
      <c r="A47" s="73"/>
    </row>
    <row r="48" spans="1:31" x14ac:dyDescent="0.25">
      <c r="A48" s="73"/>
    </row>
    <row r="49" spans="1:1" x14ac:dyDescent="0.25">
      <c r="A49" s="73"/>
    </row>
    <row r="50" spans="1:1" x14ac:dyDescent="0.25">
      <c r="A50" s="73"/>
    </row>
    <row r="51" spans="1:1" x14ac:dyDescent="0.25">
      <c r="A51" s="73"/>
    </row>
    <row r="52" spans="1:1" x14ac:dyDescent="0.25">
      <c r="A52" s="73"/>
    </row>
    <row r="53" spans="1:1" x14ac:dyDescent="0.25">
      <c r="A53" s="73"/>
    </row>
    <row r="54" spans="1:1" x14ac:dyDescent="0.25">
      <c r="A54" s="73"/>
    </row>
    <row r="55" spans="1:1" x14ac:dyDescent="0.25">
      <c r="A55" s="73"/>
    </row>
  </sheetData>
  <mergeCells count="1">
    <mergeCell ref="B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0">
    <tabColor theme="6" tint="-0.249977111117893"/>
  </sheetPr>
  <dimension ref="A1:V232"/>
  <sheetViews>
    <sheetView zoomScale="60" zoomScaleNormal="60" workbookViewId="0">
      <selection activeCell="I6" sqref="I6"/>
    </sheetView>
  </sheetViews>
  <sheetFormatPr baseColWidth="10" defaultColWidth="11.28515625" defaultRowHeight="15" x14ac:dyDescent="0.25"/>
  <cols>
    <col min="1" max="1" width="11.28515625" style="127"/>
    <col min="2" max="2" width="26.28515625" customWidth="1"/>
    <col min="3" max="3" width="32.28515625" customWidth="1"/>
    <col min="4" max="4" width="73.7109375" customWidth="1"/>
    <col min="5" max="5" width="45.85546875" customWidth="1"/>
    <col min="6" max="6" width="44" customWidth="1"/>
    <col min="7" max="7" width="26.7109375" customWidth="1"/>
    <col min="8" max="8" width="17.28515625" customWidth="1"/>
    <col min="9" max="9" width="29" customWidth="1"/>
  </cols>
  <sheetData>
    <row r="1" spans="1:22" ht="33.75" x14ac:dyDescent="0.25">
      <c r="A1" s="126"/>
      <c r="B1" s="459" t="s">
        <v>136</v>
      </c>
      <c r="C1" s="459"/>
      <c r="D1" s="459"/>
      <c r="E1" s="73"/>
      <c r="F1" s="73"/>
      <c r="G1" s="73"/>
      <c r="H1" s="73"/>
      <c r="I1" s="73"/>
      <c r="J1" s="73"/>
      <c r="K1" s="73"/>
      <c r="L1" s="73"/>
      <c r="M1" s="73"/>
      <c r="N1" s="73"/>
      <c r="O1" s="73"/>
      <c r="P1" s="73"/>
      <c r="Q1" s="73"/>
      <c r="R1" s="73"/>
      <c r="S1" s="73"/>
      <c r="T1" s="73"/>
      <c r="U1" s="73"/>
    </row>
    <row r="2" spans="1:22" x14ac:dyDescent="0.25">
      <c r="A2" s="126"/>
      <c r="B2" s="133">
        <v>1</v>
      </c>
      <c r="C2" s="133">
        <v>3</v>
      </c>
      <c r="D2" s="133">
        <v>2</v>
      </c>
      <c r="E2" s="132" t="s">
        <v>315</v>
      </c>
      <c r="F2" s="132" t="s">
        <v>314</v>
      </c>
      <c r="H2" s="73"/>
      <c r="I2" s="73"/>
      <c r="J2" s="73"/>
      <c r="K2" s="73"/>
      <c r="L2" s="73"/>
      <c r="M2" s="73"/>
      <c r="N2" s="73"/>
      <c r="O2" s="73"/>
      <c r="P2" s="73"/>
      <c r="Q2" s="73"/>
      <c r="R2" s="73"/>
      <c r="S2" s="73"/>
      <c r="T2" s="73"/>
      <c r="U2" s="73"/>
    </row>
    <row r="3" spans="1:22" ht="71.099999999999994" customHeight="1" x14ac:dyDescent="0.25">
      <c r="A3" s="126"/>
      <c r="B3" s="134"/>
      <c r="C3" s="135" t="s">
        <v>137</v>
      </c>
      <c r="D3" s="135" t="s">
        <v>138</v>
      </c>
      <c r="E3" s="135" t="s">
        <v>316</v>
      </c>
      <c r="F3" s="135" t="s">
        <v>317</v>
      </c>
      <c r="G3" s="135" t="s">
        <v>72</v>
      </c>
      <c r="H3" s="145"/>
      <c r="I3" s="73"/>
      <c r="J3" s="73"/>
      <c r="K3" s="73"/>
      <c r="L3" s="73"/>
      <c r="M3" s="73"/>
      <c r="N3" s="73"/>
      <c r="O3" s="73"/>
      <c r="P3" s="73"/>
      <c r="Q3" s="73"/>
      <c r="R3" s="73"/>
      <c r="S3" s="73"/>
      <c r="T3" s="73"/>
      <c r="U3" s="73"/>
      <c r="V3" s="73"/>
    </row>
    <row r="4" spans="1:22" ht="66.599999999999994" customHeight="1" x14ac:dyDescent="0.25">
      <c r="A4" s="124"/>
      <c r="B4" s="136" t="s">
        <v>308</v>
      </c>
      <c r="C4" s="137" t="s">
        <v>309</v>
      </c>
      <c r="D4" s="138" t="s">
        <v>139</v>
      </c>
      <c r="E4" s="139" t="str">
        <f>CONCATENATE("El Impacto se evalúo como"," ",B4,". ",D4,".")</f>
        <v>El Impacto se evalúo como Leve. El riesgo afecta la imagen de alguna área de la organización.</v>
      </c>
      <c r="F4" s="139" t="str">
        <f>CONCATENATE("El Impacto se evalúo como"," ",B4,". ",D4," con una posible"," ",C4,".")</f>
        <v>El Impacto se evalúo como Leve. El riesgo afecta la imagen de alguna área de la organización con una posible afectación menor a 10 SMLMV.</v>
      </c>
      <c r="G4" s="140">
        <v>0.2</v>
      </c>
      <c r="H4" s="145"/>
      <c r="I4" s="133" t="s">
        <v>89</v>
      </c>
      <c r="J4" s="73"/>
      <c r="K4" s="73"/>
      <c r="L4" s="73"/>
      <c r="M4" s="73"/>
      <c r="N4" s="73"/>
      <c r="O4" s="73"/>
      <c r="P4" s="73"/>
      <c r="Q4" s="73"/>
      <c r="R4" s="73"/>
      <c r="S4" s="73"/>
      <c r="T4" s="73"/>
      <c r="U4" s="73"/>
      <c r="V4" s="73"/>
    </row>
    <row r="5" spans="1:22" ht="125.1" customHeight="1" x14ac:dyDescent="0.25">
      <c r="A5" s="124"/>
      <c r="B5" s="141" t="s">
        <v>140</v>
      </c>
      <c r="C5" s="137" t="s">
        <v>310</v>
      </c>
      <c r="D5" s="138" t="s">
        <v>142</v>
      </c>
      <c r="E5" s="139" t="str">
        <f t="shared" ref="E5:E8" si="0">CONCATENATE("El Impacto se evalúo como"," ",B5,". ",D5,".")</f>
        <v>El Impacto se evalúo como Menor. El riesgo afecta la imagen de la entidad internamente, de conocimiento general, nivel interno, de junta dircetiva y accionistas y/o de provedores.</v>
      </c>
      <c r="F5" s="139" t="str">
        <f>CONCATENATE("El Impacto se evalúo como"," ",B5,". ",D5," con una posible"," ",C5,".")</f>
        <v>El Impacto se evalúo como Menor. El riesgo afecta la imagen de la entidad internamente, de conocimiento general, nivel interno, de junta dircetiva y accionistas y/o de provedores con una posible afectación entre 10 y 50 SMLMV.</v>
      </c>
      <c r="G5" s="140">
        <v>0.4</v>
      </c>
      <c r="H5" s="145"/>
      <c r="I5" s="133" t="s">
        <v>180</v>
      </c>
      <c r="J5" s="73"/>
      <c r="K5" s="73"/>
      <c r="L5" s="73"/>
      <c r="M5" s="73"/>
      <c r="N5" s="73"/>
      <c r="O5" s="73"/>
      <c r="P5" s="73"/>
      <c r="Q5" s="73"/>
      <c r="R5" s="73"/>
      <c r="S5" s="73"/>
      <c r="T5" s="73"/>
      <c r="U5" s="73"/>
      <c r="V5" s="73"/>
    </row>
    <row r="6" spans="1:22" ht="101.1" customHeight="1" x14ac:dyDescent="0.25">
      <c r="A6" s="124"/>
      <c r="B6" s="142" t="s">
        <v>114</v>
      </c>
      <c r="C6" s="137" t="s">
        <v>311</v>
      </c>
      <c r="D6" s="138" t="s">
        <v>144</v>
      </c>
      <c r="E6" s="139" t="str">
        <f t="shared" si="0"/>
        <v>El Impacto se evalúo como Moderado. El riesgo afecta la imagen de la entidad con algunos usuarios de relevancia frente al logro de los objetivos.</v>
      </c>
      <c r="F6" s="139" t="str">
        <f>CONCATENATE("El Impacto se evalúo como"," ",B6,". ",D6," con una posible"," ",C6,".")</f>
        <v>El Impacto se evalúo como Moderado. El riesgo afecta la imagen de la entidad con algunos usuarios de relevancia frente al logro de los objetivos con una posible afectación entre 50 y 100 SMLMV.</v>
      </c>
      <c r="G6" s="140">
        <v>0.6</v>
      </c>
      <c r="H6" s="145"/>
      <c r="I6" s="133" t="s">
        <v>320</v>
      </c>
      <c r="J6" s="73"/>
      <c r="K6" s="73"/>
      <c r="L6" s="73"/>
      <c r="M6" s="73"/>
      <c r="N6" s="73"/>
      <c r="O6" s="73"/>
      <c r="P6" s="73"/>
      <c r="Q6" s="73"/>
      <c r="R6" s="73"/>
      <c r="S6" s="73"/>
      <c r="T6" s="73"/>
      <c r="U6" s="73"/>
      <c r="V6" s="73"/>
    </row>
    <row r="7" spans="1:22" ht="122.1" customHeight="1" x14ac:dyDescent="0.25">
      <c r="A7" s="124"/>
      <c r="B7" s="143" t="s">
        <v>145</v>
      </c>
      <c r="C7" s="137" t="s">
        <v>312</v>
      </c>
      <c r="D7" s="138" t="s">
        <v>147</v>
      </c>
      <c r="E7" s="139" t="str">
        <f t="shared" si="0"/>
        <v>El Impacto se evalúo como Mayor. El riesgo afecta la imagen de de la entidad con efecto publicitario sostenido a nivel de sector administrativo, nivel departamental o municipal.</v>
      </c>
      <c r="F7" s="139" t="str">
        <f>CONCATENATE("El Impacto se evalúo como"," ",B7,". ",D7," con una posible"," ",C7,".")</f>
        <v>El Impacto se evalúo como Mayor. El riesgo afecta la imagen de de la entidad con efecto publicitario sostenido a nivel de sector administrativo, nivel departamental o municipal con una posible afectación entre 100 y 500 SMLMV.</v>
      </c>
      <c r="G7" s="140">
        <v>0.8</v>
      </c>
      <c r="H7" s="145"/>
      <c r="I7" s="73"/>
      <c r="J7" s="73"/>
      <c r="K7" s="73"/>
      <c r="L7" s="73"/>
      <c r="M7" s="73"/>
      <c r="N7" s="73"/>
      <c r="O7" s="73"/>
      <c r="P7" s="73"/>
      <c r="Q7" s="73"/>
      <c r="R7" s="73"/>
      <c r="S7" s="73"/>
      <c r="T7" s="73"/>
      <c r="U7" s="73"/>
      <c r="V7" s="73"/>
    </row>
    <row r="8" spans="1:22" ht="93.4" customHeight="1" x14ac:dyDescent="0.25">
      <c r="A8" s="124"/>
      <c r="B8" s="144" t="s">
        <v>148</v>
      </c>
      <c r="C8" s="137" t="s">
        <v>313</v>
      </c>
      <c r="D8" s="138" t="s">
        <v>150</v>
      </c>
      <c r="E8" s="139" t="str">
        <f t="shared" si="0"/>
        <v>El Impacto se evalúo como Catastrófico. El riesgo afecta la imagen de la entidad a nivel nacional, con efecto publicitarios sostenible a nivel país.</v>
      </c>
      <c r="F8" s="139" t="str">
        <f>CONCATENATE("El Impacto se evalúo como"," ",B8,". ",D8," con una posible"," ",C8,".")</f>
        <v>El Impacto se evalúo como Catastrófico. El riesgo afecta la imagen de la entidad a nivel nacional, con efecto publicitarios sostenible a nivel país con una posible afectación mayor a 500 SMLMV.</v>
      </c>
      <c r="G8" s="140">
        <v>1</v>
      </c>
      <c r="H8" s="145"/>
      <c r="I8" s="73"/>
      <c r="J8" s="73"/>
      <c r="K8" s="73"/>
      <c r="L8" s="73"/>
      <c r="M8" s="73"/>
      <c r="N8" s="73"/>
      <c r="O8" s="73"/>
      <c r="P8" s="73"/>
      <c r="Q8" s="73"/>
      <c r="R8" s="73"/>
      <c r="S8" s="73"/>
      <c r="T8" s="73"/>
      <c r="U8" s="73"/>
      <c r="V8" s="73"/>
    </row>
    <row r="9" spans="1:22" ht="20.25" x14ac:dyDescent="0.25">
      <c r="A9" s="126"/>
      <c r="B9" s="93"/>
      <c r="C9" s="94"/>
      <c r="D9" s="94"/>
      <c r="E9" s="128"/>
      <c r="F9" s="73"/>
      <c r="G9" s="73"/>
      <c r="H9" s="73"/>
      <c r="I9" s="73"/>
      <c r="J9" s="73"/>
      <c r="K9" s="73"/>
      <c r="L9" s="73"/>
      <c r="M9" s="73"/>
      <c r="N9" s="73"/>
      <c r="O9" s="73"/>
      <c r="P9" s="73"/>
      <c r="Q9" s="73"/>
      <c r="R9" s="73"/>
      <c r="S9" s="73"/>
      <c r="T9" s="73"/>
      <c r="U9" s="73"/>
    </row>
    <row r="10" spans="1:22" s="22" customFormat="1" ht="16.5" x14ac:dyDescent="0.25">
      <c r="A10" s="126"/>
      <c r="B10" s="120"/>
      <c r="C10" s="120"/>
      <c r="D10" s="120"/>
      <c r="E10" s="95"/>
      <c r="F10" s="95"/>
      <c r="G10" s="95"/>
      <c r="H10" s="95"/>
      <c r="I10" s="95"/>
      <c r="J10" s="95"/>
      <c r="K10" s="95"/>
      <c r="L10" s="95"/>
      <c r="M10" s="95"/>
      <c r="N10" s="95"/>
      <c r="O10" s="95"/>
      <c r="P10" s="95"/>
      <c r="Q10" s="95"/>
      <c r="R10" s="95"/>
      <c r="S10" s="95"/>
      <c r="T10" s="95"/>
      <c r="U10" s="95"/>
    </row>
    <row r="11" spans="1:22" s="123" customFormat="1" ht="30" x14ac:dyDescent="0.25">
      <c r="A11" s="125"/>
      <c r="B11" s="122" t="s">
        <v>151</v>
      </c>
      <c r="C11" s="122" t="s">
        <v>307</v>
      </c>
      <c r="D11" s="122" t="s">
        <v>139</v>
      </c>
      <c r="E11" s="122"/>
      <c r="F11" s="122"/>
      <c r="G11" s="122"/>
      <c r="H11" s="122"/>
      <c r="I11" s="122"/>
      <c r="J11" s="122"/>
      <c r="K11" s="122"/>
      <c r="L11" s="122"/>
      <c r="M11" s="122"/>
      <c r="N11" s="122"/>
      <c r="O11" s="122"/>
      <c r="P11" s="122"/>
      <c r="Q11" s="122"/>
      <c r="R11" s="122"/>
      <c r="S11" s="122"/>
      <c r="T11" s="122"/>
      <c r="U11" s="122"/>
    </row>
    <row r="12" spans="1:22" s="123" customFormat="1" ht="30" x14ac:dyDescent="0.25">
      <c r="A12" s="125"/>
      <c r="B12" s="122" t="s">
        <v>152</v>
      </c>
      <c r="C12" s="122" t="s">
        <v>141</v>
      </c>
      <c r="D12" s="122" t="s">
        <v>142</v>
      </c>
      <c r="E12" s="122"/>
      <c r="F12" s="122"/>
      <c r="G12" s="122"/>
      <c r="H12" s="122"/>
      <c r="I12" s="122"/>
      <c r="J12" s="122"/>
      <c r="K12" s="122"/>
      <c r="L12" s="122"/>
      <c r="M12" s="122"/>
      <c r="N12" s="122"/>
      <c r="O12" s="122"/>
      <c r="P12" s="122"/>
      <c r="Q12" s="122"/>
      <c r="R12" s="122"/>
      <c r="S12" s="122"/>
      <c r="T12" s="122"/>
      <c r="U12" s="122"/>
    </row>
    <row r="13" spans="1:22" s="123" customFormat="1" ht="30" x14ac:dyDescent="0.25">
      <c r="A13" s="125"/>
      <c r="B13" s="122"/>
      <c r="C13" s="122" t="s">
        <v>143</v>
      </c>
      <c r="D13" s="122" t="s">
        <v>144</v>
      </c>
      <c r="E13" s="122"/>
      <c r="F13" s="122"/>
      <c r="G13" s="122"/>
      <c r="H13" s="122"/>
      <c r="I13" s="122"/>
      <c r="J13" s="122"/>
      <c r="K13" s="122"/>
      <c r="L13" s="122"/>
      <c r="M13" s="122"/>
      <c r="N13" s="122"/>
      <c r="O13" s="122"/>
      <c r="P13" s="122"/>
      <c r="Q13" s="122"/>
      <c r="R13" s="122"/>
      <c r="S13" s="122"/>
      <c r="T13" s="122"/>
      <c r="U13" s="122"/>
    </row>
    <row r="14" spans="1:22" s="123" customFormat="1" ht="30" x14ac:dyDescent="0.25">
      <c r="A14" s="125"/>
      <c r="B14" s="122"/>
      <c r="C14" s="122" t="s">
        <v>146</v>
      </c>
      <c r="D14" s="122" t="s">
        <v>147</v>
      </c>
      <c r="E14" s="122"/>
      <c r="F14" s="122"/>
      <c r="G14" s="122"/>
      <c r="H14" s="122"/>
      <c r="I14" s="122"/>
      <c r="J14" s="122"/>
      <c r="K14" s="122"/>
      <c r="L14" s="122"/>
      <c r="M14" s="122"/>
      <c r="N14" s="122"/>
      <c r="O14" s="122"/>
      <c r="P14" s="122"/>
      <c r="Q14" s="122"/>
      <c r="R14" s="122"/>
      <c r="S14" s="122"/>
      <c r="T14" s="122"/>
      <c r="U14" s="122"/>
    </row>
    <row r="15" spans="1:22" s="123" customFormat="1" ht="30" x14ac:dyDescent="0.25">
      <c r="A15" s="125"/>
      <c r="B15" s="122"/>
      <c r="C15" s="122" t="s">
        <v>149</v>
      </c>
      <c r="D15" s="122" t="s">
        <v>150</v>
      </c>
      <c r="E15" s="122"/>
      <c r="F15" s="122"/>
      <c r="G15" s="122"/>
      <c r="H15" s="122"/>
      <c r="I15" s="122"/>
      <c r="J15" s="122"/>
      <c r="K15" s="122"/>
      <c r="L15" s="122"/>
      <c r="M15" s="122"/>
      <c r="N15" s="122"/>
      <c r="O15" s="122"/>
      <c r="P15" s="122"/>
      <c r="Q15" s="122"/>
      <c r="R15" s="122"/>
      <c r="S15" s="122"/>
      <c r="T15" s="122"/>
      <c r="U15" s="122"/>
    </row>
    <row r="16" spans="1:22" s="22" customFormat="1" x14ac:dyDescent="0.25">
      <c r="A16" s="126"/>
      <c r="B16" s="95"/>
      <c r="C16" s="95"/>
      <c r="D16" s="95"/>
      <c r="E16" s="95"/>
      <c r="F16" s="95"/>
      <c r="G16" s="95"/>
      <c r="H16" s="95"/>
      <c r="I16" s="95"/>
      <c r="J16" s="95"/>
      <c r="K16" s="95"/>
      <c r="L16" s="95"/>
      <c r="M16" s="95"/>
      <c r="N16" s="95"/>
      <c r="O16" s="95"/>
    </row>
    <row r="17" spans="1:15" s="22" customFormat="1" x14ac:dyDescent="0.25">
      <c r="A17" s="126"/>
      <c r="B17" s="95"/>
      <c r="C17" s="95"/>
      <c r="D17" s="95"/>
      <c r="E17" s="95"/>
      <c r="F17" s="95"/>
      <c r="G17" s="95"/>
      <c r="H17" s="95"/>
      <c r="I17" s="95"/>
      <c r="J17" s="95"/>
      <c r="K17" s="95"/>
      <c r="L17" s="95"/>
      <c r="M17" s="95"/>
      <c r="N17" s="95"/>
      <c r="O17" s="95"/>
    </row>
    <row r="18" spans="1:15" s="22" customFormat="1" x14ac:dyDescent="0.25">
      <c r="A18" s="126"/>
      <c r="B18" s="95"/>
      <c r="C18" s="95"/>
      <c r="D18" s="95"/>
      <c r="E18" s="95"/>
      <c r="F18" s="95"/>
      <c r="G18" s="95"/>
      <c r="H18" s="95"/>
      <c r="I18" s="95"/>
      <c r="J18" s="95"/>
      <c r="K18" s="95"/>
      <c r="L18" s="95"/>
      <c r="M18" s="95"/>
      <c r="N18" s="95"/>
      <c r="O18" s="95"/>
    </row>
    <row r="19" spans="1:15" s="22" customFormat="1" x14ac:dyDescent="0.25">
      <c r="A19" s="126"/>
      <c r="B19" s="95"/>
      <c r="C19" s="95"/>
      <c r="D19" s="95"/>
      <c r="E19" s="95"/>
      <c r="F19" s="95"/>
      <c r="G19" s="95"/>
      <c r="H19" s="95"/>
      <c r="I19" s="95"/>
      <c r="J19" s="95"/>
      <c r="K19" s="95"/>
      <c r="L19" s="95"/>
      <c r="M19" s="95"/>
      <c r="N19" s="95"/>
      <c r="O19" s="95"/>
    </row>
    <row r="20" spans="1:15" s="22" customFormat="1" x14ac:dyDescent="0.25">
      <c r="A20" s="126"/>
      <c r="B20" s="95"/>
      <c r="C20" s="95"/>
      <c r="D20" s="95"/>
      <c r="E20" s="95"/>
      <c r="F20" s="95"/>
      <c r="G20" s="95"/>
      <c r="H20" s="95"/>
      <c r="I20" s="95"/>
      <c r="J20" s="95"/>
      <c r="K20" s="95"/>
      <c r="L20" s="95"/>
      <c r="M20" s="95"/>
      <c r="N20" s="95"/>
      <c r="O20" s="95"/>
    </row>
    <row r="21" spans="1:15" s="22" customFormat="1" x14ac:dyDescent="0.25">
      <c r="A21" s="126"/>
      <c r="B21" s="95"/>
      <c r="C21" s="95"/>
      <c r="D21" s="95"/>
      <c r="E21" s="95"/>
      <c r="F21" s="95"/>
      <c r="G21" s="95"/>
      <c r="H21" s="95"/>
      <c r="I21" s="95"/>
      <c r="J21" s="95"/>
      <c r="K21" s="95"/>
      <c r="L21" s="95"/>
      <c r="M21" s="95"/>
      <c r="N21" s="95"/>
      <c r="O21" s="95"/>
    </row>
    <row r="22" spans="1:15" s="22" customFormat="1" ht="20.25" x14ac:dyDescent="0.25">
      <c r="A22" s="126"/>
      <c r="B22" s="95"/>
      <c r="C22" s="121"/>
      <c r="D22" s="121"/>
      <c r="E22" s="95"/>
      <c r="F22" s="95"/>
      <c r="G22" s="95"/>
      <c r="H22" s="95"/>
      <c r="I22" s="95"/>
      <c r="J22" s="95"/>
      <c r="K22" s="95"/>
      <c r="L22" s="95"/>
      <c r="M22" s="95"/>
      <c r="N22" s="95"/>
      <c r="O22" s="95"/>
    </row>
    <row r="23" spans="1:15" s="22" customFormat="1" ht="20.25" x14ac:dyDescent="0.25">
      <c r="A23" s="126"/>
      <c r="B23" s="95"/>
      <c r="C23" s="121"/>
      <c r="D23" s="121"/>
      <c r="E23" s="95"/>
      <c r="F23" s="95"/>
      <c r="G23" s="95"/>
      <c r="H23" s="95"/>
      <c r="I23" s="95"/>
      <c r="J23" s="95"/>
      <c r="K23" s="95"/>
      <c r="L23" s="95"/>
      <c r="M23" s="95"/>
      <c r="N23" s="95"/>
      <c r="O23" s="95"/>
    </row>
    <row r="24" spans="1:15" s="22" customFormat="1" ht="20.25" x14ac:dyDescent="0.25">
      <c r="A24" s="126"/>
      <c r="B24" s="95"/>
      <c r="C24" s="121"/>
      <c r="D24" s="121"/>
      <c r="E24" s="95"/>
      <c r="F24" s="95"/>
      <c r="G24" s="95"/>
      <c r="H24" s="95"/>
      <c r="I24" s="95"/>
      <c r="J24" s="95"/>
      <c r="K24" s="95"/>
      <c r="L24" s="95"/>
      <c r="M24" s="95"/>
      <c r="N24" s="95"/>
      <c r="O24" s="95"/>
    </row>
    <row r="25" spans="1:15" s="22" customFormat="1" ht="20.25" x14ac:dyDescent="0.25">
      <c r="A25" s="126"/>
      <c r="B25" s="95"/>
      <c r="C25" s="121"/>
      <c r="D25" s="121"/>
      <c r="E25" s="95"/>
      <c r="F25" s="95"/>
      <c r="G25" s="95"/>
      <c r="H25" s="95"/>
      <c r="I25" s="95"/>
      <c r="J25" s="95"/>
      <c r="K25" s="95"/>
      <c r="L25" s="95"/>
      <c r="M25" s="95"/>
      <c r="N25" s="95"/>
      <c r="O25" s="95"/>
    </row>
    <row r="26" spans="1:15" ht="20.25" x14ac:dyDescent="0.25">
      <c r="A26" s="126"/>
      <c r="B26" s="93"/>
      <c r="C26" s="94"/>
      <c r="D26" s="94"/>
      <c r="E26" s="73"/>
      <c r="F26" s="73"/>
      <c r="G26" s="73"/>
      <c r="H26" s="73"/>
      <c r="I26" s="73"/>
      <c r="J26" s="73"/>
      <c r="K26" s="73"/>
      <c r="L26" s="73"/>
      <c r="M26" s="73"/>
      <c r="N26" s="73"/>
      <c r="O26" s="73"/>
    </row>
    <row r="27" spans="1:15" ht="20.25" x14ac:dyDescent="0.25">
      <c r="A27" s="126"/>
      <c r="B27" s="93"/>
      <c r="C27" s="94"/>
      <c r="D27" s="94"/>
      <c r="E27" s="73"/>
      <c r="F27" s="73"/>
      <c r="G27" s="73"/>
      <c r="H27" s="73"/>
      <c r="I27" s="73"/>
      <c r="J27" s="73"/>
      <c r="K27" s="73"/>
      <c r="L27" s="73"/>
      <c r="M27" s="73"/>
      <c r="N27" s="73"/>
      <c r="O27" s="73"/>
    </row>
    <row r="28" spans="1:15" ht="20.25" x14ac:dyDescent="0.25">
      <c r="A28" s="126"/>
      <c r="B28" s="93"/>
      <c r="C28" s="94"/>
      <c r="D28" s="94"/>
      <c r="E28" s="73"/>
      <c r="F28" s="73"/>
      <c r="G28" s="73"/>
      <c r="H28" s="73"/>
      <c r="I28" s="73"/>
      <c r="J28" s="73"/>
      <c r="K28" s="73"/>
      <c r="L28" s="73"/>
      <c r="M28" s="73"/>
      <c r="N28" s="73"/>
      <c r="O28" s="73"/>
    </row>
    <row r="29" spans="1:15" ht="20.25" x14ac:dyDescent="0.25">
      <c r="A29" s="126"/>
      <c r="B29" s="93"/>
      <c r="C29" s="94"/>
      <c r="D29" s="94"/>
      <c r="E29" s="73"/>
      <c r="F29" s="73"/>
      <c r="G29" s="73"/>
      <c r="H29" s="73"/>
      <c r="I29" s="73"/>
      <c r="J29" s="73"/>
      <c r="K29" s="73"/>
      <c r="L29" s="73"/>
      <c r="M29" s="73"/>
      <c r="N29" s="73"/>
      <c r="O29" s="73"/>
    </row>
    <row r="30" spans="1:15" ht="20.25" x14ac:dyDescent="0.25">
      <c r="A30" s="126"/>
      <c r="B30" s="93"/>
      <c r="C30" s="94"/>
      <c r="D30" s="94"/>
      <c r="E30" s="73"/>
      <c r="F30" s="73"/>
      <c r="G30" s="73"/>
      <c r="H30" s="73"/>
      <c r="I30" s="73"/>
      <c r="J30" s="73"/>
      <c r="K30" s="73"/>
      <c r="L30" s="73"/>
      <c r="M30" s="73"/>
      <c r="N30" s="73"/>
      <c r="O30" s="73"/>
    </row>
    <row r="31" spans="1:15" ht="20.25" x14ac:dyDescent="0.25">
      <c r="A31" s="126"/>
      <c r="B31" s="93"/>
      <c r="C31" s="94"/>
      <c r="D31" s="94"/>
      <c r="E31" s="73"/>
      <c r="F31" s="73"/>
      <c r="G31" s="73"/>
      <c r="H31" s="73"/>
      <c r="I31" s="73"/>
      <c r="J31" s="73"/>
      <c r="K31" s="73"/>
      <c r="L31" s="73"/>
      <c r="M31" s="73"/>
      <c r="N31" s="73"/>
      <c r="O31" s="73"/>
    </row>
    <row r="32" spans="1:15" ht="20.25" x14ac:dyDescent="0.25">
      <c r="A32" s="126"/>
      <c r="B32" s="93"/>
      <c r="C32" s="94"/>
      <c r="D32" s="94"/>
      <c r="E32" s="73"/>
      <c r="F32" s="73"/>
      <c r="G32" s="73"/>
      <c r="H32" s="73"/>
      <c r="I32" s="73"/>
      <c r="J32" s="73"/>
      <c r="K32" s="73"/>
      <c r="L32" s="73"/>
      <c r="M32" s="73"/>
      <c r="N32" s="73"/>
      <c r="O32" s="73"/>
    </row>
    <row r="33" spans="1:15" ht="20.25" x14ac:dyDescent="0.25">
      <c r="A33" s="126"/>
      <c r="B33" s="93"/>
      <c r="C33" s="94"/>
      <c r="D33" s="94"/>
      <c r="E33" s="73"/>
      <c r="F33" s="73"/>
      <c r="G33" s="73"/>
      <c r="H33" s="73"/>
      <c r="I33" s="73"/>
      <c r="J33" s="73"/>
      <c r="K33" s="73"/>
      <c r="L33" s="73"/>
      <c r="M33" s="73"/>
      <c r="N33" s="73"/>
      <c r="O33" s="73"/>
    </row>
    <row r="34" spans="1:15" ht="20.25" x14ac:dyDescent="0.25">
      <c r="A34" s="126"/>
      <c r="B34" s="93"/>
      <c r="C34" s="94"/>
      <c r="D34" s="94"/>
      <c r="E34" s="73"/>
      <c r="F34" s="73"/>
      <c r="G34" s="73"/>
      <c r="H34" s="73"/>
      <c r="I34" s="73"/>
      <c r="J34" s="73"/>
      <c r="K34" s="73"/>
      <c r="L34" s="73"/>
      <c r="M34" s="73"/>
      <c r="N34" s="73"/>
      <c r="O34" s="73"/>
    </row>
    <row r="35" spans="1:15" ht="20.25" x14ac:dyDescent="0.25">
      <c r="A35" s="126"/>
      <c r="B35" s="93"/>
      <c r="C35" s="94"/>
      <c r="D35" s="94"/>
      <c r="E35" s="73"/>
      <c r="F35" s="73"/>
      <c r="G35" s="73"/>
      <c r="H35" s="73"/>
      <c r="I35" s="73"/>
      <c r="J35" s="73"/>
      <c r="K35" s="73"/>
      <c r="L35" s="73"/>
      <c r="M35" s="73"/>
      <c r="N35" s="73"/>
      <c r="O35" s="73"/>
    </row>
    <row r="36" spans="1:15" ht="20.25" x14ac:dyDescent="0.25">
      <c r="A36" s="126"/>
      <c r="B36" s="93"/>
      <c r="C36" s="94"/>
      <c r="D36" s="94"/>
      <c r="E36" s="73"/>
      <c r="F36" s="73"/>
      <c r="G36" s="73"/>
      <c r="H36" s="73"/>
      <c r="I36" s="73"/>
      <c r="J36" s="73"/>
      <c r="K36" s="73"/>
      <c r="L36" s="73"/>
      <c r="M36" s="73"/>
      <c r="N36" s="73"/>
      <c r="O36" s="73"/>
    </row>
    <row r="37" spans="1:15" ht="20.25" x14ac:dyDescent="0.25">
      <c r="A37" s="126"/>
      <c r="B37" s="93"/>
      <c r="C37" s="94"/>
      <c r="D37" s="94"/>
      <c r="E37" s="73"/>
      <c r="F37" s="73"/>
      <c r="G37" s="73"/>
      <c r="H37" s="73"/>
      <c r="I37" s="73"/>
      <c r="J37" s="73"/>
      <c r="K37" s="73"/>
      <c r="L37" s="73"/>
      <c r="M37" s="73"/>
      <c r="N37" s="73"/>
      <c r="O37" s="73"/>
    </row>
    <row r="38" spans="1:15" ht="20.25" x14ac:dyDescent="0.25">
      <c r="A38" s="126"/>
      <c r="B38" s="93"/>
      <c r="C38" s="94"/>
      <c r="D38" s="94"/>
      <c r="E38" s="73"/>
      <c r="F38" s="73"/>
      <c r="G38" s="73"/>
      <c r="H38" s="73"/>
      <c r="I38" s="73"/>
      <c r="J38" s="73"/>
      <c r="K38" s="73"/>
      <c r="L38" s="73"/>
      <c r="M38" s="73"/>
      <c r="N38" s="73"/>
      <c r="O38" s="73"/>
    </row>
    <row r="39" spans="1:15" ht="20.25" x14ac:dyDescent="0.25">
      <c r="A39" s="126"/>
      <c r="B39" s="93"/>
      <c r="C39" s="94"/>
      <c r="D39" s="94"/>
      <c r="E39" s="73"/>
      <c r="F39" s="73"/>
      <c r="G39" s="73"/>
      <c r="H39" s="73"/>
      <c r="I39" s="73"/>
      <c r="J39" s="73"/>
      <c r="K39" s="73"/>
      <c r="L39" s="73"/>
      <c r="M39" s="73"/>
      <c r="N39" s="73"/>
      <c r="O39" s="73"/>
    </row>
    <row r="40" spans="1:15" ht="20.25" x14ac:dyDescent="0.25">
      <c r="A40" s="126"/>
      <c r="B40" s="93"/>
      <c r="C40" s="94"/>
      <c r="D40" s="94"/>
      <c r="E40" s="73"/>
      <c r="F40" s="73"/>
      <c r="G40" s="73"/>
      <c r="H40" s="73"/>
      <c r="I40" s="73"/>
      <c r="J40" s="73"/>
      <c r="K40" s="73"/>
      <c r="L40" s="73"/>
      <c r="M40" s="73"/>
      <c r="N40" s="73"/>
      <c r="O40" s="73"/>
    </row>
    <row r="41" spans="1:15" ht="20.25" x14ac:dyDescent="0.25">
      <c r="A41" s="126"/>
      <c r="B41" s="93"/>
      <c r="C41" s="94"/>
      <c r="D41" s="94"/>
      <c r="E41" s="73"/>
      <c r="F41" s="73"/>
      <c r="G41" s="73"/>
      <c r="H41" s="73"/>
      <c r="I41" s="73"/>
      <c r="J41" s="73"/>
      <c r="K41" s="73"/>
      <c r="L41" s="73"/>
      <c r="M41" s="73"/>
      <c r="N41" s="73"/>
      <c r="O41" s="73"/>
    </row>
    <row r="42" spans="1:15" ht="20.25" x14ac:dyDescent="0.25">
      <c r="A42" s="126"/>
      <c r="B42" s="93"/>
      <c r="C42" s="94"/>
      <c r="D42" s="94"/>
      <c r="E42" s="73"/>
      <c r="F42" s="73"/>
      <c r="G42" s="73"/>
      <c r="H42" s="73"/>
      <c r="I42" s="73"/>
      <c r="J42" s="73"/>
      <c r="K42" s="73"/>
      <c r="L42" s="73"/>
      <c r="M42" s="73"/>
      <c r="N42" s="73"/>
      <c r="O42" s="73"/>
    </row>
    <row r="43" spans="1:15" ht="20.25" x14ac:dyDescent="0.25">
      <c r="A43" s="126"/>
      <c r="B43" s="93"/>
      <c r="C43" s="94"/>
      <c r="D43" s="94"/>
      <c r="E43" s="73"/>
      <c r="F43" s="73"/>
      <c r="G43" s="73"/>
      <c r="H43" s="73"/>
      <c r="I43" s="73"/>
      <c r="J43" s="73"/>
      <c r="K43" s="73"/>
      <c r="L43" s="73"/>
      <c r="M43" s="73"/>
      <c r="N43" s="73"/>
      <c r="O43" s="73"/>
    </row>
    <row r="44" spans="1:15" ht="20.25" x14ac:dyDescent="0.25">
      <c r="A44" s="126"/>
      <c r="B44" s="93"/>
      <c r="C44" s="94"/>
      <c r="D44" s="94"/>
      <c r="E44" s="73"/>
      <c r="F44" s="73"/>
      <c r="G44" s="73"/>
      <c r="H44" s="73"/>
      <c r="I44" s="73"/>
      <c r="J44" s="73"/>
      <c r="K44" s="73"/>
      <c r="L44" s="73"/>
      <c r="M44" s="73"/>
      <c r="N44" s="73"/>
      <c r="O44" s="73"/>
    </row>
    <row r="45" spans="1:15" ht="20.25" x14ac:dyDescent="0.25">
      <c r="A45" s="126"/>
      <c r="B45" s="93"/>
      <c r="C45" s="94"/>
      <c r="D45" s="94"/>
      <c r="E45" s="73"/>
      <c r="F45" s="73"/>
      <c r="G45" s="73"/>
      <c r="H45" s="73"/>
      <c r="I45" s="73"/>
      <c r="J45" s="73"/>
      <c r="K45" s="73"/>
      <c r="L45" s="73"/>
      <c r="M45" s="73"/>
      <c r="N45" s="73"/>
      <c r="O45" s="73"/>
    </row>
    <row r="46" spans="1:15" ht="20.25" x14ac:dyDescent="0.25">
      <c r="A46" s="126"/>
      <c r="B46" s="93"/>
      <c r="C46" s="94"/>
      <c r="D46" s="94"/>
      <c r="E46" s="73"/>
      <c r="F46" s="73"/>
      <c r="G46" s="73"/>
      <c r="H46" s="73"/>
      <c r="I46" s="73"/>
      <c r="J46" s="73"/>
      <c r="K46" s="73"/>
      <c r="L46" s="73"/>
      <c r="M46" s="73"/>
      <c r="N46" s="73"/>
      <c r="O46" s="73"/>
    </row>
    <row r="47" spans="1:15" ht="20.25" x14ac:dyDescent="0.25">
      <c r="A47" s="126"/>
      <c r="B47" s="93"/>
      <c r="C47" s="94"/>
      <c r="D47" s="94"/>
      <c r="E47" s="73"/>
      <c r="F47" s="73"/>
      <c r="G47" s="73"/>
      <c r="H47" s="73"/>
      <c r="I47" s="73"/>
      <c r="J47" s="73"/>
      <c r="K47" s="73"/>
      <c r="L47" s="73"/>
      <c r="M47" s="73"/>
      <c r="N47" s="73"/>
      <c r="O47" s="73"/>
    </row>
    <row r="48" spans="1:15" ht="20.25" x14ac:dyDescent="0.25">
      <c r="A48" s="126"/>
      <c r="B48" s="93"/>
      <c r="C48" s="94"/>
      <c r="D48" s="94"/>
      <c r="E48" s="73"/>
      <c r="F48" s="73"/>
      <c r="G48" s="73"/>
      <c r="H48" s="73"/>
      <c r="I48" s="73"/>
      <c r="J48" s="73"/>
      <c r="K48" s="73"/>
      <c r="L48" s="73"/>
      <c r="M48" s="73"/>
      <c r="N48" s="73"/>
      <c r="O48" s="73"/>
    </row>
    <row r="49" spans="1:15" ht="20.25" x14ac:dyDescent="0.25">
      <c r="A49" s="126"/>
      <c r="B49" s="93"/>
      <c r="C49" s="94"/>
      <c r="D49" s="94"/>
      <c r="E49" s="73"/>
      <c r="F49" s="73"/>
      <c r="G49" s="73"/>
      <c r="H49" s="73"/>
      <c r="I49" s="73"/>
      <c r="J49" s="73"/>
      <c r="K49" s="73"/>
      <c r="L49" s="73"/>
      <c r="M49" s="73"/>
      <c r="N49" s="73"/>
      <c r="O49" s="73"/>
    </row>
    <row r="50" spans="1:15" ht="20.25" x14ac:dyDescent="0.25">
      <c r="A50" s="126"/>
      <c r="B50" s="93"/>
      <c r="C50" s="94"/>
      <c r="D50" s="94"/>
      <c r="E50" s="73"/>
      <c r="F50" s="73"/>
      <c r="G50" s="73"/>
      <c r="H50" s="73"/>
      <c r="I50" s="73"/>
      <c r="J50" s="73"/>
      <c r="K50" s="73"/>
      <c r="L50" s="73"/>
      <c r="M50" s="73"/>
      <c r="N50" s="73"/>
      <c r="O50" s="73"/>
    </row>
    <row r="51" spans="1:15" ht="20.25" x14ac:dyDescent="0.25">
      <c r="A51" s="126"/>
      <c r="B51" s="93"/>
      <c r="C51" s="94"/>
      <c r="D51" s="94"/>
      <c r="E51" s="73"/>
      <c r="F51" s="73"/>
      <c r="G51" s="73"/>
      <c r="H51" s="73"/>
      <c r="I51" s="73"/>
      <c r="J51" s="73"/>
      <c r="K51" s="73"/>
      <c r="L51" s="73"/>
      <c r="M51" s="73"/>
      <c r="N51" s="73"/>
      <c r="O51" s="73"/>
    </row>
    <row r="52" spans="1:15" ht="20.25" x14ac:dyDescent="0.25">
      <c r="A52" s="126"/>
      <c r="B52" s="23"/>
      <c r="C52" s="34"/>
      <c r="D52" s="34"/>
    </row>
    <row r="53" spans="1:15" ht="20.25" x14ac:dyDescent="0.25">
      <c r="A53" s="126"/>
      <c r="B53" s="23"/>
      <c r="C53" s="34"/>
      <c r="D53" s="34"/>
    </row>
    <row r="54" spans="1:15" ht="20.25" x14ac:dyDescent="0.25">
      <c r="A54" s="126"/>
      <c r="B54" s="23"/>
      <c r="C54" s="34"/>
      <c r="D54" s="34"/>
    </row>
    <row r="55" spans="1:15" ht="20.25" x14ac:dyDescent="0.25">
      <c r="A55" s="126"/>
      <c r="B55" s="23"/>
      <c r="C55" s="34"/>
      <c r="D55" s="34"/>
    </row>
    <row r="56" spans="1:15" ht="20.25" x14ac:dyDescent="0.25">
      <c r="A56" s="126"/>
      <c r="B56" s="23"/>
      <c r="C56" s="34"/>
      <c r="D56" s="34"/>
    </row>
    <row r="57" spans="1:15" ht="20.25" x14ac:dyDescent="0.25">
      <c r="A57" s="126"/>
      <c r="B57" s="23"/>
      <c r="C57" s="34"/>
      <c r="D57" s="34"/>
    </row>
    <row r="58" spans="1:15" ht="20.25" x14ac:dyDescent="0.25">
      <c r="A58" s="126"/>
      <c r="B58" s="23"/>
      <c r="C58" s="34"/>
      <c r="D58" s="34"/>
    </row>
    <row r="59" spans="1:15" ht="20.25" x14ac:dyDescent="0.25">
      <c r="A59" s="126"/>
      <c r="B59" s="23"/>
      <c r="C59" s="34"/>
      <c r="D59" s="34"/>
    </row>
    <row r="60" spans="1:15" ht="20.25" x14ac:dyDescent="0.25">
      <c r="A60" s="126"/>
      <c r="B60" s="23"/>
      <c r="C60" s="34"/>
      <c r="D60" s="34"/>
    </row>
    <row r="61" spans="1:15" ht="20.25" x14ac:dyDescent="0.25">
      <c r="A61" s="126"/>
      <c r="B61" s="23"/>
      <c r="C61" s="34"/>
      <c r="D61" s="34"/>
    </row>
    <row r="62" spans="1:15" ht="20.25" x14ac:dyDescent="0.25">
      <c r="A62" s="126"/>
      <c r="B62" s="23"/>
      <c r="C62" s="34"/>
      <c r="D62" s="34"/>
    </row>
    <row r="63" spans="1:15" ht="20.25" x14ac:dyDescent="0.25">
      <c r="A63" s="126"/>
      <c r="B63" s="23"/>
      <c r="C63" s="34"/>
      <c r="D63" s="34"/>
    </row>
    <row r="64" spans="1:15" ht="20.25" x14ac:dyDescent="0.25">
      <c r="A64" s="126"/>
      <c r="B64" s="23"/>
      <c r="C64" s="34"/>
      <c r="D64" s="34"/>
    </row>
    <row r="65" spans="1:4" ht="20.25" x14ac:dyDescent="0.25">
      <c r="A65" s="126"/>
      <c r="B65" s="23"/>
      <c r="C65" s="34"/>
      <c r="D65" s="34"/>
    </row>
    <row r="66" spans="1:4" ht="20.25" x14ac:dyDescent="0.25">
      <c r="A66" s="126"/>
      <c r="B66" s="23"/>
      <c r="C66" s="34"/>
      <c r="D66" s="34"/>
    </row>
    <row r="67" spans="1:4" ht="20.25" x14ac:dyDescent="0.25">
      <c r="A67" s="126"/>
      <c r="B67" s="23"/>
      <c r="C67" s="34"/>
      <c r="D67" s="34"/>
    </row>
    <row r="68" spans="1:4" ht="20.25" x14ac:dyDescent="0.25">
      <c r="A68" s="126"/>
      <c r="B68" s="23"/>
      <c r="C68" s="34"/>
      <c r="D68" s="34"/>
    </row>
    <row r="69" spans="1:4" ht="20.25" x14ac:dyDescent="0.25">
      <c r="A69" s="126"/>
      <c r="B69" s="23"/>
      <c r="C69" s="34"/>
      <c r="D69" s="34"/>
    </row>
    <row r="70" spans="1:4" ht="20.25" x14ac:dyDescent="0.25">
      <c r="A70" s="126"/>
      <c r="B70" s="23"/>
      <c r="C70" s="34"/>
      <c r="D70" s="34"/>
    </row>
    <row r="71" spans="1:4" ht="20.25" x14ac:dyDescent="0.25">
      <c r="A71" s="126"/>
      <c r="B71" s="23"/>
      <c r="C71" s="34"/>
      <c r="D71" s="34"/>
    </row>
    <row r="72" spans="1:4" ht="20.25" x14ac:dyDescent="0.25">
      <c r="A72" s="126"/>
      <c r="B72" s="23"/>
      <c r="C72" s="34"/>
      <c r="D72" s="34"/>
    </row>
    <row r="73" spans="1:4" ht="20.25" x14ac:dyDescent="0.25">
      <c r="A73" s="126"/>
      <c r="B73" s="23"/>
      <c r="C73" s="34"/>
      <c r="D73" s="34"/>
    </row>
    <row r="74" spans="1:4" ht="20.25" x14ac:dyDescent="0.25">
      <c r="A74" s="126"/>
      <c r="B74" s="23"/>
      <c r="C74" s="34"/>
      <c r="D74" s="34"/>
    </row>
    <row r="75" spans="1:4" ht="20.25" x14ac:dyDescent="0.25">
      <c r="A75" s="126"/>
      <c r="B75" s="23"/>
      <c r="C75" s="34"/>
      <c r="D75" s="34"/>
    </row>
    <row r="76" spans="1:4" ht="20.25" x14ac:dyDescent="0.25">
      <c r="A76" s="126"/>
      <c r="B76" s="23"/>
      <c r="C76" s="34"/>
      <c r="D76" s="34"/>
    </row>
    <row r="77" spans="1:4" ht="20.25" x14ac:dyDescent="0.25">
      <c r="A77" s="126"/>
      <c r="B77" s="23"/>
      <c r="C77" s="34"/>
      <c r="D77" s="34"/>
    </row>
    <row r="78" spans="1:4" ht="20.25" x14ac:dyDescent="0.25">
      <c r="A78" s="126"/>
      <c r="B78" s="23"/>
      <c r="C78" s="34"/>
      <c r="D78" s="34"/>
    </row>
    <row r="79" spans="1:4" ht="20.25" x14ac:dyDescent="0.25">
      <c r="A79" s="126"/>
      <c r="B79" s="23"/>
      <c r="C79" s="34"/>
      <c r="D79" s="34"/>
    </row>
    <row r="80" spans="1:4" ht="20.25" x14ac:dyDescent="0.25">
      <c r="A80" s="126"/>
      <c r="B80" s="23"/>
      <c r="C80" s="34"/>
      <c r="D80" s="34"/>
    </row>
    <row r="81" spans="1:4" ht="20.25" x14ac:dyDescent="0.25">
      <c r="A81" s="126"/>
      <c r="B81" s="23"/>
      <c r="C81" s="34"/>
      <c r="D81" s="34"/>
    </row>
    <row r="82" spans="1:4" ht="20.25" x14ac:dyDescent="0.25">
      <c r="A82" s="126"/>
      <c r="B82" s="23"/>
      <c r="C82" s="34"/>
      <c r="D82" s="34"/>
    </row>
    <row r="83" spans="1:4" ht="20.25" x14ac:dyDescent="0.25">
      <c r="A83" s="126"/>
      <c r="B83" s="23"/>
      <c r="C83" s="34"/>
      <c r="D83" s="34"/>
    </row>
    <row r="84" spans="1:4" ht="20.25" x14ac:dyDescent="0.25">
      <c r="A84" s="126"/>
      <c r="B84" s="23"/>
      <c r="C84" s="34"/>
      <c r="D84" s="34"/>
    </row>
    <row r="85" spans="1:4" ht="20.25" x14ac:dyDescent="0.25">
      <c r="A85" s="126"/>
      <c r="B85" s="23"/>
      <c r="C85" s="34"/>
      <c r="D85" s="34"/>
    </row>
    <row r="86" spans="1:4" ht="20.25" x14ac:dyDescent="0.25">
      <c r="A86" s="126"/>
      <c r="B86" s="23"/>
      <c r="C86" s="34"/>
      <c r="D86" s="34"/>
    </row>
    <row r="87" spans="1:4" ht="20.25" x14ac:dyDescent="0.25">
      <c r="A87" s="126"/>
      <c r="B87" s="23"/>
      <c r="C87" s="34"/>
      <c r="D87" s="34"/>
    </row>
    <row r="88" spans="1:4" ht="20.25" x14ac:dyDescent="0.25">
      <c r="A88" s="126"/>
      <c r="B88" s="23"/>
      <c r="C88" s="34"/>
      <c r="D88" s="34"/>
    </row>
    <row r="89" spans="1:4" ht="20.25" x14ac:dyDescent="0.25">
      <c r="A89" s="126"/>
      <c r="B89" s="23"/>
      <c r="C89" s="34"/>
      <c r="D89" s="34"/>
    </row>
    <row r="90" spans="1:4" ht="20.25" x14ac:dyDescent="0.25">
      <c r="A90" s="126"/>
      <c r="B90" s="23"/>
      <c r="C90" s="34"/>
      <c r="D90" s="34"/>
    </row>
    <row r="91" spans="1:4" ht="20.25" x14ac:dyDescent="0.25">
      <c r="A91" s="126"/>
      <c r="B91" s="23"/>
      <c r="C91" s="34"/>
      <c r="D91" s="34"/>
    </row>
    <row r="92" spans="1:4" ht="20.25" x14ac:dyDescent="0.25">
      <c r="A92" s="126"/>
      <c r="B92" s="23"/>
      <c r="C92" s="34"/>
      <c r="D92" s="34"/>
    </row>
    <row r="93" spans="1:4" ht="20.25" x14ac:dyDescent="0.25">
      <c r="A93" s="126"/>
      <c r="B93" s="23"/>
      <c r="C93" s="34"/>
      <c r="D93" s="34"/>
    </row>
    <row r="94" spans="1:4" ht="20.25" x14ac:dyDescent="0.25">
      <c r="A94" s="126"/>
      <c r="B94" s="23"/>
      <c r="C94" s="34"/>
      <c r="D94" s="34"/>
    </row>
    <row r="95" spans="1:4" ht="20.25" x14ac:dyDescent="0.25">
      <c r="A95" s="126"/>
      <c r="B95" s="23"/>
      <c r="C95" s="34"/>
      <c r="D95" s="34"/>
    </row>
    <row r="96" spans="1:4" ht="20.25" x14ac:dyDescent="0.25">
      <c r="A96" s="126"/>
      <c r="B96" s="23"/>
      <c r="C96" s="34"/>
      <c r="D96" s="34"/>
    </row>
    <row r="97" spans="1:4" ht="20.25" x14ac:dyDescent="0.25">
      <c r="A97" s="126"/>
      <c r="B97" s="23"/>
      <c r="C97" s="34"/>
      <c r="D97" s="34"/>
    </row>
    <row r="98" spans="1:4" ht="20.25" x14ac:dyDescent="0.25">
      <c r="A98" s="126"/>
      <c r="B98" s="23"/>
      <c r="C98" s="34"/>
      <c r="D98" s="34"/>
    </row>
    <row r="99" spans="1:4" ht="20.25" x14ac:dyDescent="0.25">
      <c r="A99" s="126"/>
      <c r="B99" s="23"/>
      <c r="C99" s="34"/>
      <c r="D99" s="34"/>
    </row>
    <row r="100" spans="1:4" ht="20.25" x14ac:dyDescent="0.25">
      <c r="A100" s="126"/>
      <c r="B100" s="23"/>
      <c r="C100" s="34"/>
      <c r="D100" s="34"/>
    </row>
    <row r="101" spans="1:4" ht="20.25" x14ac:dyDescent="0.25">
      <c r="A101" s="126"/>
      <c r="B101" s="23"/>
      <c r="C101" s="34"/>
      <c r="D101" s="34"/>
    </row>
    <row r="102" spans="1:4" ht="20.25" x14ac:dyDescent="0.25">
      <c r="A102" s="126"/>
      <c r="B102" s="23"/>
      <c r="C102" s="34"/>
      <c r="D102" s="34"/>
    </row>
    <row r="103" spans="1:4" ht="20.25" x14ac:dyDescent="0.25">
      <c r="A103" s="126"/>
      <c r="B103" s="23"/>
      <c r="C103" s="34"/>
      <c r="D103" s="34"/>
    </row>
    <row r="104" spans="1:4" ht="20.25" x14ac:dyDescent="0.25">
      <c r="A104" s="126"/>
      <c r="B104" s="23"/>
      <c r="C104" s="34"/>
      <c r="D104" s="34"/>
    </row>
    <row r="105" spans="1:4" ht="20.25" x14ac:dyDescent="0.25">
      <c r="A105" s="126"/>
      <c r="B105" s="23"/>
      <c r="C105" s="34"/>
      <c r="D105" s="34"/>
    </row>
    <row r="106" spans="1:4" ht="20.25" x14ac:dyDescent="0.25">
      <c r="A106" s="126"/>
      <c r="B106" s="23"/>
      <c r="C106" s="34"/>
      <c r="D106" s="34"/>
    </row>
    <row r="107" spans="1:4" ht="20.25" x14ac:dyDescent="0.25">
      <c r="A107" s="126"/>
      <c r="B107" s="23"/>
      <c r="C107" s="34"/>
      <c r="D107" s="34"/>
    </row>
    <row r="108" spans="1:4" ht="20.25" x14ac:dyDescent="0.25">
      <c r="A108" s="126"/>
      <c r="B108" s="23"/>
      <c r="C108" s="34"/>
      <c r="D108" s="34"/>
    </row>
    <row r="109" spans="1:4" ht="20.25" x14ac:dyDescent="0.25">
      <c r="A109" s="126"/>
      <c r="B109" s="23"/>
      <c r="C109" s="34"/>
      <c r="D109" s="34"/>
    </row>
    <row r="110" spans="1:4" ht="20.25" x14ac:dyDescent="0.25">
      <c r="A110" s="126"/>
      <c r="B110" s="23"/>
      <c r="C110" s="34"/>
      <c r="D110" s="34"/>
    </row>
    <row r="111" spans="1:4" ht="20.25" x14ac:dyDescent="0.25">
      <c r="A111" s="126"/>
      <c r="B111" s="23"/>
      <c r="C111" s="34"/>
      <c r="D111" s="34"/>
    </row>
    <row r="112" spans="1:4" ht="20.25" x14ac:dyDescent="0.25">
      <c r="A112" s="126"/>
      <c r="B112" s="23"/>
      <c r="C112" s="34"/>
      <c r="D112" s="34"/>
    </row>
    <row r="113" spans="1:4" ht="20.25" x14ac:dyDescent="0.25">
      <c r="A113" s="126"/>
      <c r="B113" s="23"/>
      <c r="C113" s="34"/>
      <c r="D113" s="34"/>
    </row>
    <row r="114" spans="1:4" ht="20.25" x14ac:dyDescent="0.25">
      <c r="A114" s="126"/>
      <c r="B114" s="23"/>
      <c r="C114" s="34"/>
      <c r="D114" s="34"/>
    </row>
    <row r="115" spans="1:4" ht="20.25" x14ac:dyDescent="0.25">
      <c r="A115" s="126"/>
      <c r="B115" s="23"/>
      <c r="C115" s="34"/>
      <c r="D115" s="34"/>
    </row>
    <row r="116" spans="1:4" ht="20.25" x14ac:dyDescent="0.25">
      <c r="A116" s="126"/>
      <c r="B116" s="23"/>
      <c r="C116" s="34"/>
      <c r="D116" s="34"/>
    </row>
    <row r="117" spans="1:4" ht="20.25" x14ac:dyDescent="0.25">
      <c r="A117" s="126"/>
      <c r="B117" s="23"/>
      <c r="C117" s="34"/>
      <c r="D117" s="34"/>
    </row>
    <row r="118" spans="1:4" ht="20.25" x14ac:dyDescent="0.25">
      <c r="A118" s="126"/>
      <c r="B118" s="23"/>
      <c r="C118" s="34"/>
      <c r="D118" s="34"/>
    </row>
    <row r="119" spans="1:4" ht="20.25" x14ac:dyDescent="0.25">
      <c r="A119" s="126"/>
      <c r="B119" s="23"/>
      <c r="C119" s="34"/>
      <c r="D119" s="34"/>
    </row>
    <row r="120" spans="1:4" ht="20.25" x14ac:dyDescent="0.25">
      <c r="A120" s="126"/>
      <c r="B120" s="23"/>
      <c r="C120" s="34"/>
      <c r="D120" s="34"/>
    </row>
    <row r="121" spans="1:4" ht="20.25" x14ac:dyDescent="0.25">
      <c r="A121" s="126"/>
      <c r="B121" s="23"/>
      <c r="C121" s="34"/>
      <c r="D121" s="34"/>
    </row>
    <row r="122" spans="1:4" ht="20.25" x14ac:dyDescent="0.25">
      <c r="A122" s="126"/>
      <c r="B122" s="23"/>
      <c r="C122" s="34"/>
      <c r="D122" s="34"/>
    </row>
    <row r="123" spans="1:4" ht="20.25" x14ac:dyDescent="0.25">
      <c r="A123" s="126"/>
      <c r="B123" s="23"/>
      <c r="C123" s="34"/>
      <c r="D123" s="34"/>
    </row>
    <row r="124" spans="1:4" ht="20.25" x14ac:dyDescent="0.25">
      <c r="A124" s="126"/>
      <c r="B124" s="23"/>
      <c r="C124" s="34"/>
      <c r="D124" s="34"/>
    </row>
    <row r="125" spans="1:4" ht="20.25" x14ac:dyDescent="0.25">
      <c r="A125" s="126"/>
      <c r="B125" s="23"/>
      <c r="C125" s="34"/>
      <c r="D125" s="34"/>
    </row>
    <row r="126" spans="1:4" ht="20.25" x14ac:dyDescent="0.25">
      <c r="A126" s="126"/>
      <c r="B126" s="23"/>
      <c r="C126" s="34"/>
      <c r="D126" s="34"/>
    </row>
    <row r="127" spans="1:4" ht="20.25" x14ac:dyDescent="0.25">
      <c r="A127" s="126"/>
      <c r="B127" s="23"/>
      <c r="C127" s="34"/>
      <c r="D127" s="34"/>
    </row>
    <row r="128" spans="1:4" ht="20.25" x14ac:dyDescent="0.25">
      <c r="A128" s="126"/>
      <c r="B128" s="23"/>
      <c r="C128" s="34"/>
      <c r="D128" s="34"/>
    </row>
    <row r="129" spans="1:4" ht="20.25" x14ac:dyDescent="0.25">
      <c r="A129" s="126"/>
      <c r="B129" s="23"/>
      <c r="C129" s="34"/>
      <c r="D129" s="34"/>
    </row>
    <row r="130" spans="1:4" ht="20.25" x14ac:dyDescent="0.25">
      <c r="A130" s="126"/>
      <c r="B130" s="23"/>
      <c r="C130" s="34"/>
      <c r="D130" s="34"/>
    </row>
    <row r="131" spans="1:4" ht="20.25" x14ac:dyDescent="0.25">
      <c r="A131" s="126"/>
      <c r="B131" s="23"/>
      <c r="C131" s="34"/>
      <c r="D131" s="34"/>
    </row>
    <row r="132" spans="1:4" ht="20.25" x14ac:dyDescent="0.25">
      <c r="A132" s="126"/>
      <c r="B132" s="23"/>
      <c r="C132" s="34"/>
      <c r="D132" s="34"/>
    </row>
    <row r="133" spans="1:4" ht="20.25" x14ac:dyDescent="0.25">
      <c r="A133" s="126"/>
      <c r="B133" s="23"/>
      <c r="C133" s="34"/>
      <c r="D133" s="34"/>
    </row>
    <row r="134" spans="1:4" ht="20.25" x14ac:dyDescent="0.25">
      <c r="A134" s="126"/>
      <c r="B134" s="23"/>
      <c r="C134" s="34"/>
      <c r="D134" s="34"/>
    </row>
    <row r="135" spans="1:4" ht="20.25" x14ac:dyDescent="0.25">
      <c r="A135" s="126"/>
      <c r="B135" s="23"/>
      <c r="C135" s="34"/>
      <c r="D135" s="34"/>
    </row>
    <row r="136" spans="1:4" ht="20.25" x14ac:dyDescent="0.25">
      <c r="A136" s="126"/>
      <c r="B136" s="23"/>
      <c r="C136" s="34"/>
      <c r="D136" s="34"/>
    </row>
    <row r="137" spans="1:4" ht="20.25" x14ac:dyDescent="0.25">
      <c r="A137" s="126"/>
      <c r="B137" s="23"/>
      <c r="C137" s="34"/>
      <c r="D137" s="34"/>
    </row>
    <row r="138" spans="1:4" ht="20.25" x14ac:dyDescent="0.25">
      <c r="A138" s="126"/>
      <c r="B138" s="23"/>
      <c r="C138" s="34"/>
      <c r="D138" s="34"/>
    </row>
    <row r="139" spans="1:4" ht="20.25" x14ac:dyDescent="0.25">
      <c r="A139" s="126"/>
      <c r="B139" s="23"/>
      <c r="C139" s="34"/>
      <c r="D139" s="34"/>
    </row>
    <row r="140" spans="1:4" ht="20.25" x14ac:dyDescent="0.25">
      <c r="A140" s="126"/>
      <c r="B140" s="23"/>
      <c r="C140" s="34"/>
      <c r="D140" s="34"/>
    </row>
    <row r="141" spans="1:4" ht="20.25" x14ac:dyDescent="0.25">
      <c r="A141" s="126"/>
      <c r="B141" s="23"/>
      <c r="C141" s="34"/>
      <c r="D141" s="34"/>
    </row>
    <row r="142" spans="1:4" ht="20.25" x14ac:dyDescent="0.25">
      <c r="A142" s="126"/>
      <c r="B142" s="23"/>
      <c r="C142" s="34"/>
      <c r="D142" s="34"/>
    </row>
    <row r="143" spans="1:4" ht="20.25" x14ac:dyDescent="0.25">
      <c r="A143" s="126"/>
      <c r="B143" s="23"/>
      <c r="C143" s="34"/>
      <c r="D143" s="34"/>
    </row>
    <row r="144" spans="1:4" ht="20.25" x14ac:dyDescent="0.25">
      <c r="A144" s="126"/>
      <c r="B144" s="23"/>
      <c r="C144" s="34"/>
      <c r="D144" s="34"/>
    </row>
    <row r="145" spans="1:4" ht="20.25" x14ac:dyDescent="0.25">
      <c r="A145" s="126"/>
      <c r="B145" s="23"/>
      <c r="C145" s="34"/>
      <c r="D145" s="34"/>
    </row>
    <row r="146" spans="1:4" ht="20.25" x14ac:dyDescent="0.25">
      <c r="A146" s="126"/>
      <c r="B146" s="23"/>
      <c r="C146" s="34"/>
      <c r="D146" s="34"/>
    </row>
    <row r="147" spans="1:4" ht="20.25" x14ac:dyDescent="0.25">
      <c r="A147" s="126"/>
      <c r="B147" s="23"/>
      <c r="C147" s="34"/>
      <c r="D147" s="34"/>
    </row>
    <row r="148" spans="1:4" ht="20.25" x14ac:dyDescent="0.25">
      <c r="A148" s="126"/>
      <c r="B148" s="23"/>
      <c r="C148" s="34"/>
      <c r="D148" s="34"/>
    </row>
    <row r="149" spans="1:4" ht="20.25" x14ac:dyDescent="0.25">
      <c r="A149" s="126"/>
      <c r="B149" s="23"/>
      <c r="C149" s="34"/>
      <c r="D149" s="34"/>
    </row>
    <row r="150" spans="1:4" ht="20.25" x14ac:dyDescent="0.25">
      <c r="A150" s="126"/>
      <c r="B150" s="23"/>
      <c r="C150" s="34"/>
      <c r="D150" s="34"/>
    </row>
    <row r="151" spans="1:4" ht="20.25" x14ac:dyDescent="0.25">
      <c r="A151" s="126"/>
      <c r="B151" s="23"/>
      <c r="C151" s="34"/>
      <c r="D151" s="34"/>
    </row>
    <row r="152" spans="1:4" ht="20.25" x14ac:dyDescent="0.25">
      <c r="A152" s="126"/>
      <c r="B152" s="23"/>
      <c r="C152" s="34"/>
      <c r="D152" s="34"/>
    </row>
    <row r="153" spans="1:4" ht="20.25" x14ac:dyDescent="0.25">
      <c r="A153" s="126"/>
      <c r="B153" s="23"/>
      <c r="C153" s="34"/>
      <c r="D153" s="34"/>
    </row>
    <row r="154" spans="1:4" ht="20.25" x14ac:dyDescent="0.25">
      <c r="A154" s="126"/>
      <c r="B154" s="23"/>
      <c r="C154" s="34"/>
      <c r="D154" s="34"/>
    </row>
    <row r="155" spans="1:4" ht="20.25" x14ac:dyDescent="0.25">
      <c r="A155" s="126"/>
      <c r="B155" s="23"/>
      <c r="C155" s="34"/>
      <c r="D155" s="34"/>
    </row>
    <row r="156" spans="1:4" ht="20.25" x14ac:dyDescent="0.25">
      <c r="A156" s="126"/>
      <c r="B156" s="23"/>
      <c r="C156" s="34"/>
      <c r="D156" s="34"/>
    </row>
    <row r="157" spans="1:4" ht="20.25" x14ac:dyDescent="0.25">
      <c r="A157" s="126"/>
      <c r="B157" s="23"/>
      <c r="C157" s="34"/>
      <c r="D157" s="34"/>
    </row>
    <row r="158" spans="1:4" ht="20.25" x14ac:dyDescent="0.25">
      <c r="A158" s="126"/>
      <c r="B158" s="23"/>
      <c r="C158" s="34"/>
      <c r="D158" s="34"/>
    </row>
    <row r="159" spans="1:4" ht="20.25" x14ac:dyDescent="0.25">
      <c r="A159" s="126"/>
      <c r="B159" s="23"/>
      <c r="C159" s="34"/>
      <c r="D159" s="34"/>
    </row>
    <row r="160" spans="1:4" ht="20.25" x14ac:dyDescent="0.25">
      <c r="A160" s="126"/>
      <c r="B160" s="23"/>
      <c r="C160" s="34"/>
      <c r="D160" s="34"/>
    </row>
    <row r="161" spans="1:4" ht="20.25" x14ac:dyDescent="0.25">
      <c r="A161" s="126"/>
      <c r="B161" s="23"/>
      <c r="C161" s="34"/>
      <c r="D161" s="34"/>
    </row>
    <row r="162" spans="1:4" ht="20.25" x14ac:dyDescent="0.25">
      <c r="A162" s="126"/>
      <c r="B162" s="23"/>
      <c r="C162" s="34"/>
      <c r="D162" s="34"/>
    </row>
    <row r="163" spans="1:4" ht="20.25" x14ac:dyDescent="0.25">
      <c r="A163" s="126"/>
      <c r="B163" s="23"/>
      <c r="C163" s="34"/>
      <c r="D163" s="34"/>
    </row>
    <row r="164" spans="1:4" ht="20.25" x14ac:dyDescent="0.25">
      <c r="A164" s="126"/>
      <c r="B164" s="23"/>
      <c r="C164" s="34"/>
      <c r="D164" s="34"/>
    </row>
    <row r="165" spans="1:4" ht="20.25" x14ac:dyDescent="0.25">
      <c r="A165" s="126"/>
      <c r="B165" s="23"/>
      <c r="C165" s="34"/>
      <c r="D165" s="34"/>
    </row>
    <row r="166" spans="1:4" ht="20.25" x14ac:dyDescent="0.25">
      <c r="A166" s="126"/>
      <c r="B166" s="23"/>
      <c r="C166" s="34"/>
      <c r="D166" s="34"/>
    </row>
    <row r="167" spans="1:4" ht="20.25" x14ac:dyDescent="0.25">
      <c r="A167" s="126"/>
      <c r="B167" s="23"/>
      <c r="C167" s="34"/>
      <c r="D167" s="34"/>
    </row>
    <row r="168" spans="1:4" ht="20.25" x14ac:dyDescent="0.25">
      <c r="A168" s="126"/>
      <c r="B168" s="23"/>
      <c r="C168" s="34"/>
      <c r="D168" s="34"/>
    </row>
    <row r="169" spans="1:4" ht="20.25" x14ac:dyDescent="0.25">
      <c r="A169" s="126"/>
      <c r="B169" s="23"/>
      <c r="C169" s="34"/>
      <c r="D169" s="34"/>
    </row>
    <row r="170" spans="1:4" ht="20.25" x14ac:dyDescent="0.25">
      <c r="A170" s="126"/>
      <c r="B170" s="23"/>
      <c r="C170" s="34"/>
      <c r="D170" s="34"/>
    </row>
    <row r="171" spans="1:4" ht="20.25" x14ac:dyDescent="0.25">
      <c r="A171" s="126"/>
      <c r="B171" s="23"/>
      <c r="C171" s="34"/>
      <c r="D171" s="34"/>
    </row>
    <row r="172" spans="1:4" ht="20.25" x14ac:dyDescent="0.25">
      <c r="A172" s="126"/>
      <c r="B172" s="23"/>
      <c r="C172" s="34"/>
      <c r="D172" s="34"/>
    </row>
    <row r="173" spans="1:4" ht="20.25" x14ac:dyDescent="0.25">
      <c r="A173" s="126"/>
      <c r="B173" s="23"/>
      <c r="C173" s="34"/>
      <c r="D173" s="34"/>
    </row>
    <row r="174" spans="1:4" ht="20.25" x14ac:dyDescent="0.25">
      <c r="A174" s="126"/>
      <c r="B174" s="23"/>
      <c r="C174" s="34"/>
      <c r="D174" s="34"/>
    </row>
    <row r="175" spans="1:4" ht="20.25" x14ac:dyDescent="0.25">
      <c r="A175" s="126"/>
      <c r="B175" s="23"/>
      <c r="C175" s="34"/>
      <c r="D175" s="34"/>
    </row>
    <row r="176" spans="1:4" ht="20.25" x14ac:dyDescent="0.25">
      <c r="A176" s="126"/>
      <c r="B176" s="23"/>
      <c r="C176" s="34"/>
      <c r="D176" s="34"/>
    </row>
    <row r="177" spans="1:4" ht="20.25" x14ac:dyDescent="0.25">
      <c r="A177" s="126"/>
      <c r="B177" s="23"/>
      <c r="C177" s="34"/>
      <c r="D177" s="34"/>
    </row>
    <row r="178" spans="1:4" ht="20.25" x14ac:dyDescent="0.25">
      <c r="A178" s="126"/>
      <c r="B178" s="23"/>
      <c r="C178" s="34"/>
      <c r="D178" s="34"/>
    </row>
    <row r="179" spans="1:4" ht="20.25" x14ac:dyDescent="0.25">
      <c r="A179" s="126"/>
      <c r="B179" s="23"/>
      <c r="C179" s="34"/>
      <c r="D179" s="34"/>
    </row>
    <row r="180" spans="1:4" ht="20.25" x14ac:dyDescent="0.25">
      <c r="A180" s="126"/>
      <c r="B180" s="23"/>
      <c r="C180" s="34"/>
      <c r="D180" s="34"/>
    </row>
    <row r="181" spans="1:4" ht="20.25" x14ac:dyDescent="0.25">
      <c r="A181" s="126"/>
      <c r="B181" s="23"/>
      <c r="C181" s="34"/>
      <c r="D181" s="34"/>
    </row>
    <row r="182" spans="1:4" ht="20.25" x14ac:dyDescent="0.25">
      <c r="A182" s="126"/>
      <c r="B182" s="23"/>
      <c r="C182" s="34"/>
      <c r="D182" s="34"/>
    </row>
    <row r="183" spans="1:4" ht="20.25" x14ac:dyDescent="0.25">
      <c r="A183" s="126"/>
      <c r="B183" s="23"/>
      <c r="C183" s="34"/>
      <c r="D183" s="34"/>
    </row>
    <row r="184" spans="1:4" ht="20.25" x14ac:dyDescent="0.25">
      <c r="A184" s="126"/>
      <c r="B184" s="23"/>
      <c r="C184" s="34"/>
      <c r="D184" s="34"/>
    </row>
    <row r="185" spans="1:4" ht="20.25" x14ac:dyDescent="0.25">
      <c r="A185" s="126"/>
      <c r="B185" s="23"/>
      <c r="C185" s="34"/>
      <c r="D185" s="34"/>
    </row>
    <row r="186" spans="1:4" ht="20.25" x14ac:dyDescent="0.25">
      <c r="A186" s="126"/>
      <c r="B186" s="23"/>
      <c r="C186" s="34"/>
      <c r="D186" s="34"/>
    </row>
    <row r="187" spans="1:4" ht="20.25" x14ac:dyDescent="0.25">
      <c r="A187" s="126"/>
      <c r="B187" s="23"/>
      <c r="C187" s="34"/>
      <c r="D187" s="34"/>
    </row>
    <row r="188" spans="1:4" ht="20.25" x14ac:dyDescent="0.25">
      <c r="A188" s="126"/>
      <c r="B188" s="23"/>
      <c r="C188" s="34"/>
      <c r="D188" s="34"/>
    </row>
    <row r="189" spans="1:4" ht="20.25" x14ac:dyDescent="0.25">
      <c r="A189" s="126"/>
      <c r="B189" s="23"/>
      <c r="C189" s="34"/>
      <c r="D189" s="34"/>
    </row>
    <row r="190" spans="1:4" ht="20.25" x14ac:dyDescent="0.25">
      <c r="A190" s="126"/>
      <c r="B190" s="23"/>
      <c r="C190" s="34"/>
      <c r="D190" s="34"/>
    </row>
    <row r="191" spans="1:4" ht="20.25" x14ac:dyDescent="0.25">
      <c r="A191" s="126"/>
      <c r="B191" s="23"/>
      <c r="C191" s="34"/>
      <c r="D191" s="34"/>
    </row>
    <row r="192" spans="1:4" ht="20.25" x14ac:dyDescent="0.25">
      <c r="A192" s="126"/>
      <c r="B192" s="23"/>
      <c r="C192" s="34"/>
      <c r="D192" s="34"/>
    </row>
    <row r="193" spans="1:4" ht="20.25" x14ac:dyDescent="0.25">
      <c r="A193" s="126"/>
      <c r="B193" s="23"/>
      <c r="C193" s="34"/>
      <c r="D193" s="34"/>
    </row>
    <row r="194" spans="1:4" ht="20.25" x14ac:dyDescent="0.25">
      <c r="A194" s="126"/>
      <c r="B194" s="23"/>
      <c r="C194" s="34"/>
      <c r="D194" s="34"/>
    </row>
    <row r="195" spans="1:4" ht="20.25" x14ac:dyDescent="0.25">
      <c r="A195" s="126"/>
      <c r="B195" s="23"/>
      <c r="C195" s="34"/>
      <c r="D195" s="34"/>
    </row>
    <row r="196" spans="1:4" ht="20.25" x14ac:dyDescent="0.25">
      <c r="A196" s="126"/>
      <c r="B196" s="23"/>
      <c r="C196" s="34"/>
      <c r="D196" s="34"/>
    </row>
    <row r="197" spans="1:4" ht="20.25" x14ac:dyDescent="0.25">
      <c r="A197" s="126"/>
      <c r="B197" s="23"/>
      <c r="C197" s="34"/>
      <c r="D197" s="34"/>
    </row>
    <row r="198" spans="1:4" ht="20.25" x14ac:dyDescent="0.25">
      <c r="A198" s="126"/>
      <c r="B198" s="23"/>
      <c r="C198" s="34"/>
      <c r="D198" s="34"/>
    </row>
    <row r="199" spans="1:4" ht="20.25" x14ac:dyDescent="0.25">
      <c r="A199" s="126"/>
      <c r="B199" s="23"/>
      <c r="C199" s="34"/>
      <c r="D199" s="34"/>
    </row>
    <row r="200" spans="1:4" ht="20.25" x14ac:dyDescent="0.25">
      <c r="A200" s="126"/>
      <c r="B200" s="23"/>
      <c r="C200" s="34"/>
      <c r="D200" s="34"/>
    </row>
    <row r="201" spans="1:4" ht="20.25" x14ac:dyDescent="0.25">
      <c r="A201" s="126"/>
      <c r="B201" s="23"/>
      <c r="C201" s="34"/>
      <c r="D201" s="34"/>
    </row>
    <row r="202" spans="1:4" ht="20.25" x14ac:dyDescent="0.25">
      <c r="A202" s="126"/>
      <c r="B202" s="23"/>
      <c r="C202" s="34"/>
      <c r="D202" s="34"/>
    </row>
    <row r="203" spans="1:4" ht="20.25" x14ac:dyDescent="0.25">
      <c r="A203" s="126"/>
      <c r="B203" s="23"/>
      <c r="C203" s="34"/>
      <c r="D203" s="34"/>
    </row>
    <row r="204" spans="1:4" ht="20.25" x14ac:dyDescent="0.25">
      <c r="A204" s="126"/>
      <c r="B204" s="23"/>
      <c r="C204" s="34"/>
      <c r="D204" s="34"/>
    </row>
    <row r="205" spans="1:4" ht="20.25" x14ac:dyDescent="0.25">
      <c r="A205" s="126"/>
      <c r="B205" s="23"/>
      <c r="C205" s="34"/>
      <c r="D205" s="34"/>
    </row>
    <row r="206" spans="1:4" ht="20.25" x14ac:dyDescent="0.25">
      <c r="A206" s="126"/>
      <c r="B206" s="23"/>
      <c r="C206" s="34"/>
      <c r="D206" s="34"/>
    </row>
    <row r="207" spans="1:4" ht="20.25" x14ac:dyDescent="0.25">
      <c r="A207" s="126"/>
      <c r="B207" s="23"/>
      <c r="C207" s="34"/>
      <c r="D207" s="34"/>
    </row>
    <row r="208" spans="1:4" x14ac:dyDescent="0.25">
      <c r="A208" s="126"/>
      <c r="B208" s="23"/>
      <c r="C208" s="23"/>
      <c r="D208" s="23"/>
    </row>
    <row r="209" spans="1:8" ht="20.25" x14ac:dyDescent="0.25">
      <c r="A209" s="126"/>
      <c r="B209" s="30" t="s">
        <v>153</v>
      </c>
      <c r="C209" s="30" t="s">
        <v>154</v>
      </c>
      <c r="D209" s="33" t="s">
        <v>153</v>
      </c>
      <c r="E209" s="33" t="s">
        <v>154</v>
      </c>
    </row>
    <row r="210" spans="1:8" ht="21" x14ac:dyDescent="0.35">
      <c r="A210" s="126"/>
      <c r="B210" s="31" t="s">
        <v>155</v>
      </c>
      <c r="C210" s="31" t="s">
        <v>156</v>
      </c>
      <c r="D210" t="s">
        <v>155</v>
      </c>
      <c r="F210" t="str">
        <f>IF(NOT(ISBLANK(D210)),D210,IF(NOT(ISBLANK(E210)),"     "&amp;E210,FALSE))</f>
        <v>Afectación Económica o presupuestal</v>
      </c>
      <c r="G210" t="s">
        <v>155</v>
      </c>
      <c r="H210" t="str">
        <f ca="1">IF(NOT(ISERROR(MATCH(G210,_xlfn.ANCHORARRAY(B221),0))),F223&amp;"Por favor no seleccionar los criterios de impacto",G210)</f>
        <v>Afectación Económica o presupuestal</v>
      </c>
    </row>
    <row r="211" spans="1:8" ht="21" x14ac:dyDescent="0.35">
      <c r="A211" s="126"/>
      <c r="B211" s="31" t="s">
        <v>155</v>
      </c>
      <c r="C211" s="31" t="s">
        <v>141</v>
      </c>
      <c r="E211" t="s">
        <v>156</v>
      </c>
      <c r="F211" t="str">
        <f t="shared" ref="F211:F221" si="1">IF(NOT(ISBLANK(D211)),D211,IF(NOT(ISBLANK(E211)),"     "&amp;E211,FALSE))</f>
        <v xml:space="preserve">     Afectación menor a 10 SMLMV .</v>
      </c>
    </row>
    <row r="212" spans="1:8" ht="21" x14ac:dyDescent="0.35">
      <c r="A212" s="126"/>
      <c r="B212" s="31" t="s">
        <v>155</v>
      </c>
      <c r="C212" s="31" t="s">
        <v>143</v>
      </c>
      <c r="E212" t="s">
        <v>141</v>
      </c>
      <c r="F212" t="str">
        <f t="shared" si="1"/>
        <v xml:space="preserve">     Entre 10 y 50 SMLMV </v>
      </c>
    </row>
    <row r="213" spans="1:8" ht="21" x14ac:dyDescent="0.35">
      <c r="A213" s="126"/>
      <c r="B213" s="31" t="s">
        <v>155</v>
      </c>
      <c r="C213" s="31" t="s">
        <v>146</v>
      </c>
      <c r="E213" t="s">
        <v>143</v>
      </c>
      <c r="F213" t="str">
        <f t="shared" si="1"/>
        <v xml:space="preserve">     Entre 50 y 100 SMLMV </v>
      </c>
    </row>
    <row r="214" spans="1:8" ht="21" x14ac:dyDescent="0.35">
      <c r="A214" s="126"/>
      <c r="B214" s="31" t="s">
        <v>155</v>
      </c>
      <c r="C214" s="31" t="s">
        <v>149</v>
      </c>
      <c r="E214" t="s">
        <v>146</v>
      </c>
      <c r="F214" t="str">
        <f t="shared" si="1"/>
        <v xml:space="preserve">     Entre 100 y 500 SMLMV </v>
      </c>
    </row>
    <row r="215" spans="1:8" ht="21" x14ac:dyDescent="0.35">
      <c r="A215" s="126"/>
      <c r="B215" s="31" t="s">
        <v>138</v>
      </c>
      <c r="C215" s="31" t="s">
        <v>139</v>
      </c>
      <c r="E215" t="s">
        <v>149</v>
      </c>
      <c r="F215" t="str">
        <f t="shared" si="1"/>
        <v xml:space="preserve">     Mayor a 500 SMLMV </v>
      </c>
    </row>
    <row r="216" spans="1:8" ht="21" x14ac:dyDescent="0.35">
      <c r="A216" s="126"/>
      <c r="B216" s="31" t="s">
        <v>138</v>
      </c>
      <c r="C216" s="31" t="s">
        <v>142</v>
      </c>
      <c r="D216" t="s">
        <v>138</v>
      </c>
      <c r="F216" t="str">
        <f t="shared" si="1"/>
        <v>Pérdida Reputacional</v>
      </c>
    </row>
    <row r="217" spans="1:8" ht="21" x14ac:dyDescent="0.35">
      <c r="A217" s="126"/>
      <c r="B217" s="31" t="s">
        <v>138</v>
      </c>
      <c r="C217" s="31" t="s">
        <v>144</v>
      </c>
      <c r="E217" t="s">
        <v>139</v>
      </c>
      <c r="F217" t="str">
        <f t="shared" si="1"/>
        <v xml:space="preserve">     El riesgo afecta la imagen de alguna área de la organización</v>
      </c>
    </row>
    <row r="218" spans="1:8" ht="21" x14ac:dyDescent="0.35">
      <c r="A218" s="126"/>
      <c r="B218" s="31" t="s">
        <v>138</v>
      </c>
      <c r="C218" s="31" t="s">
        <v>147</v>
      </c>
      <c r="E218" t="s">
        <v>142</v>
      </c>
      <c r="F218" t="str">
        <f t="shared" si="1"/>
        <v xml:space="preserve">     El riesgo afecta la imagen de la entidad internamente, de conocimiento general, nivel interno, de junta dircetiva y accionistas y/o de provedores</v>
      </c>
    </row>
    <row r="219" spans="1:8" ht="21" x14ac:dyDescent="0.35">
      <c r="A219" s="126"/>
      <c r="B219" s="31" t="s">
        <v>138</v>
      </c>
      <c r="C219" s="31" t="s">
        <v>150</v>
      </c>
      <c r="E219" t="s">
        <v>144</v>
      </c>
      <c r="F219" t="str">
        <f t="shared" si="1"/>
        <v xml:space="preserve">     El riesgo afecta la imagen de la entidad con algunos usuarios de relevancia frente al logro de los objetivos</v>
      </c>
    </row>
    <row r="220" spans="1:8" x14ac:dyDescent="0.25">
      <c r="A220" s="126"/>
      <c r="B220" s="32"/>
      <c r="C220" s="32"/>
      <c r="E220" t="s">
        <v>147</v>
      </c>
      <c r="F220" t="str">
        <f t="shared" si="1"/>
        <v xml:space="preserve">     El riesgo afecta la imagen de de la entidad con efecto publicitario sostenido a nivel de sector administrativo, nivel departamental o municipal</v>
      </c>
    </row>
    <row r="221" spans="1:8" x14ac:dyDescent="0.25">
      <c r="A221" s="126"/>
      <c r="B221" s="32" t="e">
        <f t="array" aca="1" ref="B221:B223" ca="1">_xlfn.UNIQUE(Tabla1[[#All],[Criterios]])</f>
        <v>#NAME?</v>
      </c>
      <c r="C221" s="32"/>
      <c r="E221" t="s">
        <v>150</v>
      </c>
      <c r="F221" t="str">
        <f t="shared" si="1"/>
        <v xml:space="preserve">     El riesgo afecta la imagen de la entidad a nivel nacional, con efecto publicitarios sostenible a nivel país</v>
      </c>
    </row>
    <row r="222" spans="1:8" x14ac:dyDescent="0.25">
      <c r="A222" s="126"/>
      <c r="B222" s="32" t="e">
        <f ca="1"/>
        <v>#NAME?</v>
      </c>
      <c r="C222" s="32"/>
    </row>
    <row r="223" spans="1:8" x14ac:dyDescent="0.25">
      <c r="B223" s="32" t="e">
        <f ca="1"/>
        <v>#NAME?</v>
      </c>
      <c r="C223" s="32"/>
      <c r="F223" s="35" t="s">
        <v>157</v>
      </c>
    </row>
    <row r="224" spans="1:8" x14ac:dyDescent="0.25">
      <c r="B224" s="22"/>
      <c r="C224" s="22"/>
      <c r="F224" s="35" t="s">
        <v>158</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200-000000000000}">
      <formula1>$F$210:$F$221</formula1>
    </dataValidation>
  </dataValidations>
  <pageMargins left="0.7" right="0.7" top="0.75" bottom="0.75" header="0.3" footer="0.3"/>
  <pageSetup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1">
    <tabColor theme="7" tint="-0.249977111117893"/>
  </sheetPr>
  <dimension ref="B1:F16"/>
  <sheetViews>
    <sheetView workbookViewId="0">
      <selection activeCell="E7" sqref="E7"/>
    </sheetView>
  </sheetViews>
  <sheetFormatPr baseColWidth="10" defaultColWidth="14.140625" defaultRowHeight="12.75" x14ac:dyDescent="0.2"/>
  <cols>
    <col min="1" max="1" width="14.140625" style="78"/>
    <col min="2" max="2" width="13.140625" style="78" customWidth="1"/>
    <col min="3" max="3" width="15.28515625" style="78" customWidth="1"/>
    <col min="4" max="4" width="14.140625" style="78"/>
    <col min="5" max="5" width="39.140625" style="78" customWidth="1"/>
    <col min="6" max="6" width="12.140625" style="78" customWidth="1"/>
    <col min="7" max="16384" width="14.140625" style="78"/>
  </cols>
  <sheetData>
    <row r="1" spans="2:6" ht="24" customHeight="1" thickBot="1" x14ac:dyDescent="0.25">
      <c r="B1" s="460" t="s">
        <v>159</v>
      </c>
      <c r="C1" s="461"/>
      <c r="D1" s="461"/>
      <c r="E1" s="461"/>
      <c r="F1" s="462"/>
    </row>
    <row r="2" spans="2:6" ht="16.5" thickBot="1" x14ac:dyDescent="0.3">
      <c r="B2" s="79"/>
      <c r="C2" s="79"/>
      <c r="D2" s="79"/>
      <c r="E2" s="79"/>
      <c r="F2" s="79"/>
    </row>
    <row r="3" spans="2:6" ht="16.5" thickBot="1" x14ac:dyDescent="0.25">
      <c r="B3" s="464" t="s">
        <v>160</v>
      </c>
      <c r="C3" s="465"/>
      <c r="D3" s="465"/>
      <c r="E3" s="91" t="s">
        <v>161</v>
      </c>
      <c r="F3" s="92" t="s">
        <v>162</v>
      </c>
    </row>
    <row r="4" spans="2:6" ht="31.5" x14ac:dyDescent="0.2">
      <c r="B4" s="466" t="s">
        <v>163</v>
      </c>
      <c r="C4" s="468" t="s">
        <v>83</v>
      </c>
      <c r="D4" s="80" t="s">
        <v>91</v>
      </c>
      <c r="E4" s="81" t="s">
        <v>164</v>
      </c>
      <c r="F4" s="82">
        <v>0.25</v>
      </c>
    </row>
    <row r="5" spans="2:6" ht="47.25" x14ac:dyDescent="0.2">
      <c r="B5" s="467"/>
      <c r="C5" s="469"/>
      <c r="D5" s="83" t="s">
        <v>97</v>
      </c>
      <c r="E5" s="84" t="s">
        <v>165</v>
      </c>
      <c r="F5" s="85">
        <v>0.15</v>
      </c>
    </row>
    <row r="6" spans="2:6" ht="47.25" x14ac:dyDescent="0.2">
      <c r="B6" s="467"/>
      <c r="C6" s="469"/>
      <c r="D6" s="83" t="s">
        <v>98</v>
      </c>
      <c r="E6" s="84" t="s">
        <v>166</v>
      </c>
      <c r="F6" s="85">
        <v>0.1</v>
      </c>
    </row>
    <row r="7" spans="2:6" ht="78.75" x14ac:dyDescent="0.2">
      <c r="B7" s="467"/>
      <c r="C7" s="469" t="s">
        <v>84</v>
      </c>
      <c r="D7" s="83" t="s">
        <v>103</v>
      </c>
      <c r="E7" s="84" t="s">
        <v>167</v>
      </c>
      <c r="F7" s="85">
        <v>0.25</v>
      </c>
    </row>
    <row r="8" spans="2:6" ht="31.5" x14ac:dyDescent="0.2">
      <c r="B8" s="467"/>
      <c r="C8" s="469"/>
      <c r="D8" s="83" t="s">
        <v>92</v>
      </c>
      <c r="E8" s="84" t="s">
        <v>168</v>
      </c>
      <c r="F8" s="85">
        <v>0.15</v>
      </c>
    </row>
    <row r="9" spans="2:6" ht="63" x14ac:dyDescent="0.2">
      <c r="B9" s="467" t="s">
        <v>169</v>
      </c>
      <c r="C9" s="469" t="s">
        <v>86</v>
      </c>
      <c r="D9" s="83" t="s">
        <v>93</v>
      </c>
      <c r="E9" s="84" t="s">
        <v>170</v>
      </c>
      <c r="F9" s="86" t="s">
        <v>171</v>
      </c>
    </row>
    <row r="10" spans="2:6" ht="63" x14ac:dyDescent="0.2">
      <c r="B10" s="467"/>
      <c r="C10" s="469"/>
      <c r="D10" s="83" t="s">
        <v>104</v>
      </c>
      <c r="E10" s="84" t="s">
        <v>172</v>
      </c>
      <c r="F10" s="86" t="s">
        <v>171</v>
      </c>
    </row>
    <row r="11" spans="2:6" ht="47.25" x14ac:dyDescent="0.2">
      <c r="B11" s="467"/>
      <c r="C11" s="469" t="s">
        <v>87</v>
      </c>
      <c r="D11" s="83" t="s">
        <v>94</v>
      </c>
      <c r="E11" s="84" t="s">
        <v>173</v>
      </c>
      <c r="F11" s="86" t="s">
        <v>171</v>
      </c>
    </row>
    <row r="12" spans="2:6" ht="47.25" x14ac:dyDescent="0.2">
      <c r="B12" s="467"/>
      <c r="C12" s="469"/>
      <c r="D12" s="83" t="s">
        <v>99</v>
      </c>
      <c r="E12" s="84" t="s">
        <v>174</v>
      </c>
      <c r="F12" s="86" t="s">
        <v>171</v>
      </c>
    </row>
    <row r="13" spans="2:6" ht="31.5" x14ac:dyDescent="0.2">
      <c r="B13" s="467"/>
      <c r="C13" s="469" t="s">
        <v>88</v>
      </c>
      <c r="D13" s="83" t="s">
        <v>95</v>
      </c>
      <c r="E13" s="84" t="s">
        <v>175</v>
      </c>
      <c r="F13" s="86" t="s">
        <v>171</v>
      </c>
    </row>
    <row r="14" spans="2:6" ht="33.6" customHeight="1" thickBot="1" x14ac:dyDescent="0.25">
      <c r="B14" s="470"/>
      <c r="C14" s="471"/>
      <c r="D14" s="87" t="s">
        <v>176</v>
      </c>
      <c r="E14" s="88" t="s">
        <v>177</v>
      </c>
      <c r="F14" s="89" t="s">
        <v>171</v>
      </c>
    </row>
    <row r="15" spans="2:6" ht="49.9" customHeight="1" x14ac:dyDescent="0.2">
      <c r="B15" s="463" t="s">
        <v>178</v>
      </c>
      <c r="C15" s="463"/>
      <c r="D15" s="463"/>
      <c r="E15" s="463"/>
      <c r="F15" s="463"/>
    </row>
    <row r="16" spans="2:6" ht="27" customHeight="1" x14ac:dyDescent="0.25">
      <c r="B16" s="90"/>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
    <tabColor rgb="FF00B050"/>
  </sheetPr>
  <dimension ref="A1:BP15"/>
  <sheetViews>
    <sheetView topLeftCell="H1" zoomScale="55" zoomScaleNormal="55" workbookViewId="0">
      <selection activeCell="AH12" sqref="AH12"/>
    </sheetView>
  </sheetViews>
  <sheetFormatPr baseColWidth="10" defaultColWidth="11.28515625" defaultRowHeight="16.5" outlineLevelCol="1" x14ac:dyDescent="0.3"/>
  <cols>
    <col min="1" max="1" width="4" style="2" bestFit="1" customWidth="1"/>
    <col min="2" max="2" width="19.85546875" style="2" customWidth="1"/>
    <col min="3" max="3" width="17.28515625" style="2" customWidth="1"/>
    <col min="4" max="4" width="18" style="2" customWidth="1"/>
    <col min="5" max="5" width="32.28515625" style="1" customWidth="1"/>
    <col min="6" max="6" width="19" style="5" customWidth="1"/>
    <col min="7" max="7" width="17.85546875" style="1" customWidth="1"/>
    <col min="8" max="8" width="16.28515625" style="1" customWidth="1"/>
    <col min="9" max="9" width="6.28515625" style="1" bestFit="1" customWidth="1"/>
    <col min="10" max="10" width="27.140625" style="1" bestFit="1" customWidth="1"/>
    <col min="11" max="11" width="30.28515625" style="1" customWidth="1"/>
    <col min="12" max="12" width="18.85546875" style="1" customWidth="1"/>
    <col min="13" max="13" width="7.140625" style="1" bestFit="1" customWidth="1"/>
    <col min="14" max="14" width="16" style="1" customWidth="1"/>
    <col min="15" max="15" width="5.85546875" style="1" customWidth="1"/>
    <col min="16" max="16" width="79.28515625" style="1" customWidth="1"/>
    <col min="17" max="17" width="15.140625" style="1" bestFit="1" customWidth="1"/>
    <col min="18" max="18" width="6.85546875" style="1" customWidth="1"/>
    <col min="19" max="19" width="5" style="1" customWidth="1"/>
    <col min="20" max="20" width="5.28515625" style="1" customWidth="1"/>
    <col min="21" max="21" width="7.140625" style="1" customWidth="1"/>
    <col min="22" max="22" width="6.85546875" style="1" customWidth="1"/>
    <col min="23" max="23" width="7.28515625" style="1" customWidth="1"/>
    <col min="24" max="24" width="9.28515625" style="1" customWidth="1"/>
    <col min="25" max="25" width="8.85546875" style="1" customWidth="1"/>
    <col min="26" max="26" width="7.28515625" style="1" customWidth="1"/>
    <col min="27" max="27" width="9.140625" style="1" customWidth="1"/>
    <col min="28" max="28" width="6.85546875" style="1" customWidth="1"/>
    <col min="29" max="29" width="8.28515625" style="1" customWidth="1"/>
    <col min="30" max="30" width="7.140625" style="1" customWidth="1"/>
    <col min="31" max="31" width="42.7109375" style="1" customWidth="1" outlineLevel="1"/>
    <col min="32" max="32" width="18.85546875" style="1" customWidth="1" outlineLevel="1"/>
    <col min="33" max="33" width="16.85546875" style="1" customWidth="1" outlineLevel="1"/>
    <col min="34" max="34" width="14.85546875" style="1" customWidth="1" outlineLevel="1"/>
    <col min="35" max="35" width="22.140625" style="1" customWidth="1" outlineLevel="1"/>
    <col min="36" max="36" width="21" style="1" customWidth="1" outlineLevel="1"/>
    <col min="37" max="37" width="18.28515625" style="131" customWidth="1"/>
    <col min="38" max="16384" width="11.28515625" style="1"/>
  </cols>
  <sheetData>
    <row r="1" spans="1:68" ht="16.5" customHeight="1" x14ac:dyDescent="0.3">
      <c r="A1" s="472" t="s">
        <v>60</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4"/>
      <c r="AK1" s="129"/>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row>
    <row r="2" spans="1:68" ht="24" customHeight="1" x14ac:dyDescent="0.3">
      <c r="A2" s="475"/>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7"/>
      <c r="AK2" s="129"/>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row>
    <row r="3" spans="1:68" x14ac:dyDescent="0.3">
      <c r="A3" s="28"/>
      <c r="B3" s="29"/>
      <c r="C3" s="28"/>
      <c r="D3" s="28"/>
      <c r="E3" s="8"/>
      <c r="F3" s="2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129"/>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ht="26.65" customHeight="1" x14ac:dyDescent="0.3">
      <c r="A4" s="478" t="s">
        <v>61</v>
      </c>
      <c r="B4" s="479"/>
      <c r="C4" s="480" t="s">
        <v>210</v>
      </c>
      <c r="D4" s="481"/>
      <c r="E4" s="481"/>
      <c r="F4" s="481"/>
      <c r="G4" s="481"/>
      <c r="H4" s="481"/>
      <c r="I4" s="481"/>
      <c r="J4" s="481"/>
      <c r="K4" s="481"/>
      <c r="L4" s="481"/>
      <c r="M4" s="481"/>
      <c r="N4" s="482"/>
      <c r="O4" s="483"/>
      <c r="P4" s="483"/>
      <c r="Q4" s="483"/>
      <c r="R4" s="8"/>
      <c r="S4" s="8"/>
      <c r="T4" s="8"/>
      <c r="U4" s="8"/>
      <c r="V4" s="8"/>
      <c r="W4" s="8"/>
      <c r="X4" s="8"/>
      <c r="Y4" s="8"/>
      <c r="Z4" s="8"/>
      <c r="AA4" s="8"/>
      <c r="AB4" s="8"/>
      <c r="AC4" s="8"/>
      <c r="AD4" s="8"/>
      <c r="AE4" s="8"/>
      <c r="AF4" s="8"/>
      <c r="AG4" s="8"/>
      <c r="AH4" s="8"/>
      <c r="AI4" s="8"/>
      <c r="AJ4" s="8"/>
      <c r="AK4" s="129"/>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8" ht="30.4" customHeight="1" x14ac:dyDescent="0.3">
      <c r="A5" s="478" t="s">
        <v>62</v>
      </c>
      <c r="B5" s="479"/>
      <c r="C5" s="484" t="s">
        <v>211</v>
      </c>
      <c r="D5" s="481"/>
      <c r="E5" s="481"/>
      <c r="F5" s="481"/>
      <c r="G5" s="481"/>
      <c r="H5" s="481"/>
      <c r="I5" s="481"/>
      <c r="J5" s="481"/>
      <c r="K5" s="481"/>
      <c r="L5" s="481"/>
      <c r="M5" s="481"/>
      <c r="N5" s="482"/>
      <c r="O5" s="8"/>
      <c r="P5" s="8"/>
      <c r="Q5" s="8"/>
      <c r="R5" s="8"/>
      <c r="S5" s="8"/>
      <c r="T5" s="8"/>
      <c r="U5" s="8"/>
      <c r="V5" s="8"/>
      <c r="W5" s="8"/>
      <c r="X5" s="8"/>
      <c r="Y5" s="8"/>
      <c r="Z5" s="8"/>
      <c r="AA5" s="8"/>
      <c r="AB5" s="8"/>
      <c r="AC5" s="8"/>
      <c r="AD5" s="8"/>
      <c r="AE5" s="8"/>
      <c r="AF5" s="8"/>
      <c r="AG5" s="8"/>
      <c r="AH5" s="8"/>
      <c r="AI5" s="8"/>
      <c r="AJ5" s="8"/>
      <c r="AK5" s="129"/>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8" ht="49.9" customHeight="1" x14ac:dyDescent="0.3">
      <c r="A6" s="478" t="s">
        <v>63</v>
      </c>
      <c r="B6" s="479"/>
      <c r="C6" s="484" t="s">
        <v>212</v>
      </c>
      <c r="D6" s="499"/>
      <c r="E6" s="499"/>
      <c r="F6" s="499"/>
      <c r="G6" s="499"/>
      <c r="H6" s="499"/>
      <c r="I6" s="499"/>
      <c r="J6" s="499"/>
      <c r="K6" s="499"/>
      <c r="L6" s="499"/>
      <c r="M6" s="499"/>
      <c r="N6" s="500"/>
      <c r="O6" s="8"/>
      <c r="P6" s="8"/>
      <c r="Q6" s="8"/>
      <c r="R6" s="8"/>
      <c r="S6" s="8"/>
      <c r="T6" s="8"/>
      <c r="U6" s="8"/>
      <c r="V6" s="8"/>
      <c r="W6" s="8"/>
      <c r="X6" s="8"/>
      <c r="Y6" s="8"/>
      <c r="Z6" s="8"/>
      <c r="AA6" s="8"/>
      <c r="AB6" s="8"/>
      <c r="AC6" s="8"/>
      <c r="AD6" s="8"/>
      <c r="AE6" s="8"/>
      <c r="AF6" s="8"/>
      <c r="AG6" s="8"/>
      <c r="AH6" s="8"/>
      <c r="AI6" s="8"/>
      <c r="AJ6" s="8"/>
      <c r="AK6" s="129"/>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8" x14ac:dyDescent="0.3">
      <c r="A7" s="485" t="s">
        <v>64</v>
      </c>
      <c r="B7" s="486"/>
      <c r="C7" s="486"/>
      <c r="D7" s="486"/>
      <c r="E7" s="486"/>
      <c r="F7" s="486"/>
      <c r="G7" s="487"/>
      <c r="H7" s="485" t="s">
        <v>65</v>
      </c>
      <c r="I7" s="486"/>
      <c r="J7" s="486"/>
      <c r="K7" s="486"/>
      <c r="L7" s="486"/>
      <c r="M7" s="486"/>
      <c r="N7" s="487"/>
      <c r="O7" s="485" t="s">
        <v>66</v>
      </c>
      <c r="P7" s="486"/>
      <c r="Q7" s="486"/>
      <c r="R7" s="486"/>
      <c r="S7" s="486"/>
      <c r="T7" s="486"/>
      <c r="U7" s="486"/>
      <c r="V7" s="486"/>
      <c r="W7" s="487"/>
      <c r="X7" s="485" t="s">
        <v>67</v>
      </c>
      <c r="Y7" s="486"/>
      <c r="Z7" s="486"/>
      <c r="AA7" s="486"/>
      <c r="AB7" s="486"/>
      <c r="AC7" s="486"/>
      <c r="AD7" s="487"/>
      <c r="AE7" s="485" t="s">
        <v>68</v>
      </c>
      <c r="AF7" s="486"/>
      <c r="AG7" s="486"/>
      <c r="AH7" s="486"/>
      <c r="AI7" s="486"/>
      <c r="AJ7" s="487"/>
      <c r="AK7" s="129"/>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ht="16.5" customHeight="1" x14ac:dyDescent="0.3">
      <c r="A8" s="490" t="s">
        <v>69</v>
      </c>
      <c r="B8" s="492" t="s">
        <v>15</v>
      </c>
      <c r="C8" s="493" t="s">
        <v>17</v>
      </c>
      <c r="D8" s="493" t="s">
        <v>19</v>
      </c>
      <c r="E8" s="495" t="s">
        <v>21</v>
      </c>
      <c r="F8" s="498" t="s">
        <v>23</v>
      </c>
      <c r="G8" s="493" t="s">
        <v>70</v>
      </c>
      <c r="H8" s="501" t="s">
        <v>71</v>
      </c>
      <c r="I8" s="502" t="s">
        <v>72</v>
      </c>
      <c r="J8" s="498" t="s">
        <v>73</v>
      </c>
      <c r="K8" s="498" t="s">
        <v>74</v>
      </c>
      <c r="L8" s="508" t="s">
        <v>75</v>
      </c>
      <c r="M8" s="502" t="s">
        <v>72</v>
      </c>
      <c r="N8" s="493" t="s">
        <v>29</v>
      </c>
      <c r="O8" s="488" t="s">
        <v>76</v>
      </c>
      <c r="P8" s="496" t="s">
        <v>31</v>
      </c>
      <c r="Q8" s="498" t="s">
        <v>33</v>
      </c>
      <c r="R8" s="494" t="s">
        <v>77</v>
      </c>
      <c r="S8" s="494"/>
      <c r="T8" s="494"/>
      <c r="U8" s="494"/>
      <c r="V8" s="494"/>
      <c r="W8" s="494"/>
      <c r="X8" s="497" t="s">
        <v>78</v>
      </c>
      <c r="Y8" s="497" t="s">
        <v>79</v>
      </c>
      <c r="Z8" s="497" t="s">
        <v>72</v>
      </c>
      <c r="AA8" s="497" t="s">
        <v>80</v>
      </c>
      <c r="AB8" s="497" t="s">
        <v>72</v>
      </c>
      <c r="AC8" s="497" t="s">
        <v>81</v>
      </c>
      <c r="AD8" s="488" t="s">
        <v>49</v>
      </c>
      <c r="AE8" s="496" t="s">
        <v>68</v>
      </c>
      <c r="AF8" s="494" t="s">
        <v>82</v>
      </c>
      <c r="AG8" s="496" t="s">
        <v>264</v>
      </c>
      <c r="AH8" s="496" t="s">
        <v>265</v>
      </c>
      <c r="AI8" s="496" t="s">
        <v>262</v>
      </c>
      <c r="AJ8" s="496" t="s">
        <v>263</v>
      </c>
      <c r="AK8" s="129"/>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8" s="4" customFormat="1" ht="94.9" customHeight="1" x14ac:dyDescent="0.25">
      <c r="A9" s="491"/>
      <c r="B9" s="492"/>
      <c r="C9" s="494"/>
      <c r="D9" s="494"/>
      <c r="E9" s="492"/>
      <c r="F9" s="493"/>
      <c r="G9" s="494"/>
      <c r="H9" s="493"/>
      <c r="I9" s="503"/>
      <c r="J9" s="493"/>
      <c r="K9" s="493"/>
      <c r="L9" s="503"/>
      <c r="M9" s="503"/>
      <c r="N9" s="494"/>
      <c r="O9" s="489"/>
      <c r="P9" s="496"/>
      <c r="Q9" s="493"/>
      <c r="R9" s="111" t="s">
        <v>83</v>
      </c>
      <c r="S9" s="111" t="s">
        <v>84</v>
      </c>
      <c r="T9" s="111" t="s">
        <v>85</v>
      </c>
      <c r="U9" s="111" t="s">
        <v>86</v>
      </c>
      <c r="V9" s="111" t="s">
        <v>87</v>
      </c>
      <c r="W9" s="111" t="s">
        <v>88</v>
      </c>
      <c r="X9" s="497"/>
      <c r="Y9" s="497"/>
      <c r="Z9" s="497"/>
      <c r="AA9" s="497"/>
      <c r="AB9" s="497"/>
      <c r="AC9" s="497"/>
      <c r="AD9" s="489"/>
      <c r="AE9" s="496"/>
      <c r="AF9" s="494"/>
      <c r="AG9" s="496"/>
      <c r="AH9" s="496"/>
      <c r="AI9" s="496"/>
      <c r="AJ9" s="496"/>
      <c r="AK9" s="130"/>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row>
    <row r="10" spans="1:68" s="341" customFormat="1" ht="152.25" customHeight="1" x14ac:dyDescent="0.25">
      <c r="A10" s="359"/>
      <c r="B10" s="523" t="s">
        <v>89</v>
      </c>
      <c r="C10" s="523" t="s">
        <v>213</v>
      </c>
      <c r="D10" s="523" t="s">
        <v>284</v>
      </c>
      <c r="E10" s="523" t="s">
        <v>294</v>
      </c>
      <c r="F10" s="523" t="s">
        <v>299</v>
      </c>
      <c r="G10" s="526">
        <f>12*18</f>
        <v>216</v>
      </c>
      <c r="H10" s="520" t="str">
        <f>IF(G10&lt;=0,"",IF(G10&lt;=2,"Muy Baja",IF(G10&lt;=24,"Baja",IF(G10&lt;=500,"Media",IF(G10&lt;=5000,"Alta","Muy Alta")))))</f>
        <v>Media</v>
      </c>
      <c r="I10" s="511">
        <v>0.6</v>
      </c>
      <c r="J10" s="517" t="str">
        <f>IF(OR($B$10="Reputacional",$B$10="Económica"),VLOOKUP($L$10,'Tabla Impacto'!$B$4:$G$8,4,0),IF(AND($B$10="Reputacional y Económica"),VLOOKUP($L$10,'Tabla Impacto'!$B$4:$G$8,5,0),((VLOOKUP($L$10,'Tabla Impacto'!$B$4:$G$8,2,0)))))</f>
        <v>El Impacto se evalúo como Catastrófico. El riesgo afecta la imagen de la entidad a nivel nacional, con efecto publicitarios sostenible a nivel país.</v>
      </c>
      <c r="K10" s="517" t="str">
        <f>IF(OR($B$10="Reputacional",$B$10="Económica"),VLOOKUP($L$10,'Tabla Impacto'!$B$4:$G$8,4,0),IF(AND($B$10="Reputacional y Económica"),VLOOKUP($L$10,'Tabla Impacto'!$B$4:$G$8,5,0),((VLOOKUP($L$10,'Tabla Impacto'!$B$4:$G$8,2,0)))))</f>
        <v>El Impacto se evalúo como Catastrófico. El riesgo afecta la imagen de la entidad a nivel nacional, con efecto publicitarios sostenible a nivel país.</v>
      </c>
      <c r="L10" s="514" t="s">
        <v>148</v>
      </c>
      <c r="M10" s="511">
        <f>VLOOKUP(L10,'Tabla Impacto'!$B$4:$G$8,6,0)</f>
        <v>1</v>
      </c>
      <c r="N10" s="509"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Extremo</v>
      </c>
      <c r="O10" s="360">
        <v>1</v>
      </c>
      <c r="P10" s="361" t="s">
        <v>471</v>
      </c>
      <c r="Q10" s="362" t="str">
        <f t="shared" ref="Q10" si="0">IF(OR(R10="Preventivo",R10="Detectivo"),"Probabilidad",IF(R10="Correctivo","Impacto",""))</f>
        <v>Probabilidad</v>
      </c>
      <c r="R10" s="363" t="s">
        <v>91</v>
      </c>
      <c r="S10" s="363" t="s">
        <v>92</v>
      </c>
      <c r="T10" s="364" t="str">
        <f>IF(AND(R10="Preventivo",S10="Automático"),"50%",IF(AND(R10="Preventivo",S10="Manual"),"40%",IF(AND(R10="Detectivo",S10="Automático"),"40%",IF(AND(R10="Detectivo",S10="Manual"),"30%",IF(AND(R10="Correctivo",S10="Automático"),"35%",IF(AND(R10="Correctivo",S10="Manual"),"25%",""))))))</f>
        <v>40%</v>
      </c>
      <c r="U10" s="363" t="s">
        <v>93</v>
      </c>
      <c r="V10" s="363" t="s">
        <v>94</v>
      </c>
      <c r="W10" s="363" t="s">
        <v>95</v>
      </c>
      <c r="X10" s="365">
        <f>IFERROR(IF(Q10="Probabilidad",(I10-(+I10*T10)),IF(Q10="Impacto",I10,"")),"")</f>
        <v>0.36</v>
      </c>
      <c r="Y10" s="366" t="str">
        <f t="shared" ref="Y10:Y11" si="1">IFERROR(IF(X10="","",IF(X10&lt;=0.2,"Muy Baja",IF(X10&lt;=0.4,"Baja",IF(X10&lt;=0.6,"Media",IF(X10&lt;=0.8,"Alta","Muy Alta"))))),"")</f>
        <v>Baja</v>
      </c>
      <c r="Z10" s="367">
        <f>+X10</f>
        <v>0.36</v>
      </c>
      <c r="AA10" s="366" t="str">
        <f>IFERROR(IF(AB10="","",IF(AB10&lt;=0.2,"Leve",IF(AB10&lt;=0.4,"Menor",IF(AB10&lt;=0.6,"Moderado",IF(AB10&lt;=0.8,"Mayor","Catastrófico"))))),"")</f>
        <v>Catastrófico</v>
      </c>
      <c r="AB10" s="367">
        <f>IFERROR(IF(Q10="Impacto",(M10-(+M10*T10)),IF(Q10="Probabilidad",M10,"")),"")</f>
        <v>1</v>
      </c>
      <c r="AC10" s="368"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Extremo</v>
      </c>
      <c r="AD10" s="369" t="s">
        <v>96</v>
      </c>
      <c r="AE10" s="370" t="str">
        <f>MID(P10,41,400)</f>
        <v xml:space="preserve"> reporte y consolida en el instrumento de seguimiento al Plan de Acción Anual, la información mensual del avance de las actividades y metas del plan de acción, pertinencia, oportunidad y calidad de la evidencias.</v>
      </c>
      <c r="AF10" s="371" t="s">
        <v>214</v>
      </c>
      <c r="AG10" s="371" t="s">
        <v>452</v>
      </c>
      <c r="AH10" s="372" t="str">
        <f t="shared" ref="AH10:AH12" si="2">AG10</f>
        <v>Enero -Diciembre de 2026</v>
      </c>
      <c r="AI10" s="371" t="s">
        <v>432</v>
      </c>
      <c r="AJ10" s="371" t="s">
        <v>290</v>
      </c>
      <c r="AK10" s="340"/>
    </row>
    <row r="11" spans="1:68" s="329" customFormat="1" ht="156.4" customHeight="1" x14ac:dyDescent="0.3">
      <c r="A11" s="507"/>
      <c r="B11" s="524"/>
      <c r="C11" s="524"/>
      <c r="D11" s="524"/>
      <c r="E11" s="524"/>
      <c r="F11" s="524"/>
      <c r="G11" s="527"/>
      <c r="H11" s="521"/>
      <c r="I11" s="512"/>
      <c r="J11" s="518"/>
      <c r="K11" s="518"/>
      <c r="L11" s="515"/>
      <c r="M11" s="512"/>
      <c r="N11" s="510"/>
      <c r="O11" s="360">
        <v>2</v>
      </c>
      <c r="P11" s="361" t="s">
        <v>472</v>
      </c>
      <c r="Q11" s="362" t="str">
        <f>IF(OR(R11="Preventivo",R11="Detectivo"),"Probabilidad",IF(R11="Correctivo","Impacto",""))</f>
        <v>Probabilidad</v>
      </c>
      <c r="R11" s="363" t="s">
        <v>97</v>
      </c>
      <c r="S11" s="363" t="s">
        <v>92</v>
      </c>
      <c r="T11" s="364" t="str">
        <f>IF(AND(R11="Preventivo",S11="Automático"),"50%",IF(AND(R11="Preventivo",S11="Manual"),"40%",IF(AND(R11="Detectivo",S11="Automático"),"40%",IF(AND(R11="Detectivo",S11="Manual"),"30%",IF(AND(R11="Correctivo",S11="Automático"),"35%",IF(AND(R11="Correctivo",S11="Manual"),"25%",""))))))</f>
        <v>30%</v>
      </c>
      <c r="U11" s="363" t="s">
        <v>93</v>
      </c>
      <c r="V11" s="363" t="s">
        <v>94</v>
      </c>
      <c r="W11" s="363" t="s">
        <v>95</v>
      </c>
      <c r="X11" s="373">
        <f>IFERROR(IF(AND(Q10="Probabilidad",Q11="Probabilidad"),(Z10-(+Z10*T11)),IF(Q11="Probabilidad",(I10-(+I10*T11)),IF(Q11="Impacto",Z10,""))),"")</f>
        <v>0.252</v>
      </c>
      <c r="Y11" s="366" t="str">
        <f t="shared" si="1"/>
        <v>Baja</v>
      </c>
      <c r="Z11" s="367">
        <f>+X11</f>
        <v>0.252</v>
      </c>
      <c r="AA11" s="366" t="str">
        <f t="shared" ref="AA11" si="3">IFERROR(IF(AB11="","",IF(AB11&lt;=0.2,"Leve",IF(AB11&lt;=0.4,"Menor",IF(AB11&lt;=0.6,"Moderado",IF(AB11&lt;=0.8,"Mayor","Catastrófico"))))),"")</f>
        <v>Catastrófico</v>
      </c>
      <c r="AB11" s="367">
        <f>IFERROR(IF(AND(Q10="Impacto",Q11="Impacto"),(AB10-(+AB10*T11)),IF(Q11="Impacto",($M$10-(+$M$10*T11)),IF(Q11="Probabilidad",AB10,""))),"")</f>
        <v>1</v>
      </c>
      <c r="AC11" s="368" t="str">
        <f>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Extremo</v>
      </c>
      <c r="AD11" s="369" t="s">
        <v>96</v>
      </c>
      <c r="AE11" s="370" t="str">
        <f t="shared" ref="AE11:AE12" si="4">MID(P11,41,400)</f>
        <v xml:space="preserve"> seguimiento cuatrimestral a las actividades establecidas en el plan de acción anual y reportan las alertas de los resultados en el Comité Institucional de Gestión y Desempeño con el  objeto de establecer las acciones de mejora pertinentes </v>
      </c>
      <c r="AF11" s="371" t="s">
        <v>214</v>
      </c>
      <c r="AG11" s="372" t="s">
        <v>451</v>
      </c>
      <c r="AH11" s="372" t="str">
        <f t="shared" si="2"/>
        <v>Mayo  a Diciembre de 2026</v>
      </c>
      <c r="AI11" s="371" t="s">
        <v>267</v>
      </c>
      <c r="AJ11" s="371" t="s">
        <v>268</v>
      </c>
      <c r="AK11" s="340"/>
    </row>
    <row r="12" spans="1:68" s="329" customFormat="1" ht="118.5" customHeight="1" x14ac:dyDescent="0.3">
      <c r="A12" s="507"/>
      <c r="B12" s="524"/>
      <c r="C12" s="524"/>
      <c r="D12" s="524"/>
      <c r="E12" s="524"/>
      <c r="F12" s="524"/>
      <c r="G12" s="527"/>
      <c r="H12" s="521"/>
      <c r="I12" s="512"/>
      <c r="J12" s="518"/>
      <c r="K12" s="518"/>
      <c r="L12" s="515"/>
      <c r="M12" s="512"/>
      <c r="N12" s="510"/>
      <c r="O12" s="360">
        <v>3</v>
      </c>
      <c r="P12" s="361" t="s">
        <v>473</v>
      </c>
      <c r="Q12" s="362" t="str">
        <f>IF(OR(R12="Preventivo",R12="Detectivo"),"Probabilidad",IF(R12="Correctivo","Impacto",""))</f>
        <v>Impacto</v>
      </c>
      <c r="R12" s="363" t="s">
        <v>98</v>
      </c>
      <c r="S12" s="363" t="s">
        <v>92</v>
      </c>
      <c r="T12" s="364" t="str">
        <f>IF(AND(R12="Preventivo",S12="Automático"),"50%",IF(AND(R12="Preventivo",S12="Manual"),"40%",IF(AND(R12="Detectivo",S12="Automático"),"40%",IF(AND(R12="Detectivo",S12="Manual"),"30%",IF(AND(R12="Correctivo",S12="Automático"),"35%",IF(AND(R12="Correctivo",S12="Manual"),"25%",""))))))</f>
        <v>25%</v>
      </c>
      <c r="U12" s="363" t="s">
        <v>93</v>
      </c>
      <c r="V12" s="363" t="s">
        <v>99</v>
      </c>
      <c r="W12" s="363" t="s">
        <v>95</v>
      </c>
      <c r="X12" s="373">
        <f>IFERROR(IF(AND(Q11="Probabilidad",Q12="Probabilidad"),(Z11-(+Z11*T12)),IF(AND(Q11="Impacto",Q12="Probabilidad"),(Z10-(+Z10*T12)),IF(Q12="Impacto",Z11,""))),"")</f>
        <v>0.252</v>
      </c>
      <c r="Y12" s="366" t="str">
        <f>IFERROR(IF(X12="","",IF(X12&lt;=0.2,"Muy Baja",IF(X12&lt;=0.4,"Baja",IF(X12&lt;=0.6,"Media",IF(X12&lt;=0.8,"Alta","Muy Alta"))))),"")</f>
        <v>Baja</v>
      </c>
      <c r="Z12" s="367">
        <f t="shared" ref="Z12" si="5">+X12</f>
        <v>0.252</v>
      </c>
      <c r="AA12" s="366" t="str">
        <f>IFERROR(IF(AB12="","",IF(AB12&lt;=0.2,"Leve",IF(AB12&lt;=0.4,"Menor",IF(AB12&lt;=0.6,"Moderado",IF(AB12&lt;=0.8,"Mayor","Catastrófico"))))),"")</f>
        <v>Mayor</v>
      </c>
      <c r="AB12" s="367">
        <f>IFERROR(IF(AND(Q11="Impacto",Q12="Impacto"),(AB11-(+AB11*T12)),IF(AND(Q11="Probabilidad",Q12="Impacto"),(AB10-(+AB10*T12)),IF(Q12="Probabilidad",AB11,""))),"")</f>
        <v>0.75</v>
      </c>
      <c r="AC12" s="368"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Alto</v>
      </c>
      <c r="AD12" s="369" t="s">
        <v>96</v>
      </c>
      <c r="AE12" s="370" t="str">
        <f t="shared" si="4"/>
        <v xml:space="preserve"> la validación de los avances de los planes de segundo nivel, derivados del plan de acción institucional que permita conocer el cumplimiento de metas.</v>
      </c>
      <c r="AF12" s="371" t="s">
        <v>214</v>
      </c>
      <c r="AG12" s="371" t="s">
        <v>452</v>
      </c>
      <c r="AH12" s="372" t="str">
        <f t="shared" si="2"/>
        <v>Enero -Diciembre de 2026</v>
      </c>
      <c r="AI12" s="371"/>
      <c r="AJ12" s="371" t="s">
        <v>268</v>
      </c>
      <c r="AK12" s="340"/>
    </row>
    <row r="13" spans="1:68" ht="49.9" customHeight="1" x14ac:dyDescent="0.3">
      <c r="A13" s="6"/>
      <c r="B13" s="504" t="s">
        <v>105</v>
      </c>
      <c r="C13" s="505"/>
      <c r="D13" s="505"/>
      <c r="E13" s="505"/>
      <c r="F13" s="505"/>
      <c r="G13" s="505"/>
      <c r="H13" s="505"/>
      <c r="I13" s="505"/>
      <c r="J13" s="505"/>
      <c r="K13" s="505"/>
      <c r="L13" s="505"/>
      <c r="M13" s="505"/>
      <c r="N13" s="505"/>
      <c r="O13" s="505"/>
      <c r="P13" s="505"/>
      <c r="Q13" s="505"/>
      <c r="R13" s="505"/>
      <c r="S13" s="505"/>
      <c r="T13" s="505"/>
      <c r="U13" s="505"/>
      <c r="V13" s="505"/>
      <c r="W13" s="505"/>
      <c r="X13" s="505"/>
      <c r="Y13" s="505"/>
      <c r="Z13" s="505"/>
      <c r="AA13" s="505"/>
      <c r="AB13" s="505"/>
      <c r="AC13" s="505"/>
      <c r="AD13" s="505"/>
      <c r="AE13" s="505"/>
      <c r="AF13" s="505"/>
      <c r="AG13" s="505"/>
      <c r="AH13" s="505"/>
      <c r="AI13" s="505"/>
      <c r="AJ13" s="506"/>
    </row>
    <row r="15" spans="1:68" x14ac:dyDescent="0.3">
      <c r="A15" s="1"/>
      <c r="B15" s="24" t="s">
        <v>106</v>
      </c>
      <c r="C15" s="1"/>
      <c r="D15" s="1"/>
      <c r="F15" s="1"/>
    </row>
  </sheetData>
  <mergeCells count="59">
    <mergeCell ref="B10:B12"/>
    <mergeCell ref="G10:G12"/>
    <mergeCell ref="F10:F12"/>
    <mergeCell ref="E10:E12"/>
    <mergeCell ref="D10:D12"/>
    <mergeCell ref="C10:C12"/>
    <mergeCell ref="L10:L12"/>
    <mergeCell ref="K10:K12"/>
    <mergeCell ref="J10:J12"/>
    <mergeCell ref="I10:I12"/>
    <mergeCell ref="H10:H12"/>
    <mergeCell ref="P8:P9"/>
    <mergeCell ref="Q8:Q9"/>
    <mergeCell ref="R8:W8"/>
    <mergeCell ref="N10:N12"/>
    <mergeCell ref="M10:M12"/>
    <mergeCell ref="G8:G9"/>
    <mergeCell ref="H8:H9"/>
    <mergeCell ref="I8:I9"/>
    <mergeCell ref="B13:AJ13"/>
    <mergeCell ref="A11:A12"/>
    <mergeCell ref="AH8:AH9"/>
    <mergeCell ref="AI8:AI9"/>
    <mergeCell ref="AJ8:AJ9"/>
    <mergeCell ref="AD8:AD9"/>
    <mergeCell ref="J8:J9"/>
    <mergeCell ref="K8:K9"/>
    <mergeCell ref="L8:L9"/>
    <mergeCell ref="M8:M9"/>
    <mergeCell ref="N8:N9"/>
    <mergeCell ref="AB8:AB9"/>
    <mergeCell ref="AC8:AC9"/>
    <mergeCell ref="A6:B6"/>
    <mergeCell ref="C6:N6"/>
    <mergeCell ref="A7:G7"/>
    <mergeCell ref="H7:N7"/>
    <mergeCell ref="O7:W7"/>
    <mergeCell ref="X7:AD7"/>
    <mergeCell ref="O8:O9"/>
    <mergeCell ref="AE7:AJ7"/>
    <mergeCell ref="A8:A9"/>
    <mergeCell ref="B8:B9"/>
    <mergeCell ref="C8:C9"/>
    <mergeCell ref="D8:D9"/>
    <mergeCell ref="E8:E9"/>
    <mergeCell ref="AG8:AG9"/>
    <mergeCell ref="Z8:Z9"/>
    <mergeCell ref="AE8:AE9"/>
    <mergeCell ref="AF8:AF9"/>
    <mergeCell ref="AA8:AA9"/>
    <mergeCell ref="X8:X9"/>
    <mergeCell ref="Y8:Y9"/>
    <mergeCell ref="F8:F9"/>
    <mergeCell ref="A1:AJ2"/>
    <mergeCell ref="A4:B4"/>
    <mergeCell ref="C4:N4"/>
    <mergeCell ref="O4:Q4"/>
    <mergeCell ref="A5:B5"/>
    <mergeCell ref="C5:N5"/>
  </mergeCells>
  <conditionalFormatting sqref="H10">
    <cfRule type="cellIs" dxfId="444" priority="313" operator="equal">
      <formula>"Muy Alta"</formula>
    </cfRule>
    <cfRule type="cellIs" dxfId="443" priority="314" operator="equal">
      <formula>"Alta"</formula>
    </cfRule>
    <cfRule type="cellIs" dxfId="442" priority="315" operator="equal">
      <formula>"Media"</formula>
    </cfRule>
    <cfRule type="cellIs" dxfId="441" priority="316" operator="equal">
      <formula>"Baja"</formula>
    </cfRule>
    <cfRule type="cellIs" dxfId="440" priority="317" operator="equal">
      <formula>"Muy Baja"</formula>
    </cfRule>
  </conditionalFormatting>
  <conditionalFormatting sqref="L10">
    <cfRule type="cellIs" dxfId="439" priority="308" operator="equal">
      <formula>"Catastrófico"</formula>
    </cfRule>
    <cfRule type="cellIs" dxfId="438" priority="309" operator="equal">
      <formula>"Mayor"</formula>
    </cfRule>
    <cfRule type="cellIs" dxfId="437" priority="310" operator="equal">
      <formula>"Moderado"</formula>
    </cfRule>
    <cfRule type="cellIs" dxfId="436" priority="311" operator="equal">
      <formula>"Menor"</formula>
    </cfRule>
    <cfRule type="cellIs" dxfId="435" priority="312" operator="equal">
      <formula>"Leve"</formula>
    </cfRule>
  </conditionalFormatting>
  <conditionalFormatting sqref="M10">
    <cfRule type="containsText" dxfId="434" priority="85" operator="containsText" text="❌">
      <formula>NOT(ISERROR(SEARCH("❌",M10)))</formula>
    </cfRule>
  </conditionalFormatting>
  <conditionalFormatting sqref="N10">
    <cfRule type="cellIs" dxfId="433" priority="304" operator="equal">
      <formula>"Extremo"</formula>
    </cfRule>
    <cfRule type="cellIs" dxfId="432" priority="305" operator="equal">
      <formula>"Alto"</formula>
    </cfRule>
    <cfRule type="cellIs" dxfId="431" priority="306" operator="equal">
      <formula>"Moderado"</formula>
    </cfRule>
    <cfRule type="cellIs" dxfId="430" priority="307" operator="equal">
      <formula>"Bajo"</formula>
    </cfRule>
  </conditionalFormatting>
  <conditionalFormatting sqref="Y10:Y12">
    <cfRule type="cellIs" dxfId="429" priority="38" operator="equal">
      <formula>"Muy Alta"</formula>
    </cfRule>
    <cfRule type="cellIs" dxfId="428" priority="39" operator="equal">
      <formula>"Alta"</formula>
    </cfRule>
    <cfRule type="cellIs" dxfId="427" priority="40" operator="equal">
      <formula>"Media"</formula>
    </cfRule>
    <cfRule type="cellIs" dxfId="426" priority="41" operator="equal">
      <formula>"Baja"</formula>
    </cfRule>
    <cfRule type="cellIs" dxfId="425" priority="42" operator="equal">
      <formula>"Muy Baja"</formula>
    </cfRule>
  </conditionalFormatting>
  <conditionalFormatting sqref="AA10:AA12">
    <cfRule type="cellIs" dxfId="424" priority="33" operator="equal">
      <formula>"Catastrófico"</formula>
    </cfRule>
    <cfRule type="cellIs" dxfId="423" priority="34" operator="equal">
      <formula>"Mayor"</formula>
    </cfRule>
    <cfRule type="cellIs" dxfId="422" priority="35" operator="equal">
      <formula>"Moderado"</formula>
    </cfRule>
    <cfRule type="cellIs" dxfId="421" priority="36" operator="equal">
      <formula>"Menor"</formula>
    </cfRule>
    <cfRule type="cellIs" dxfId="420" priority="37" operator="equal">
      <formula>"Leve"</formula>
    </cfRule>
  </conditionalFormatting>
  <conditionalFormatting sqref="AC10:AC12">
    <cfRule type="cellIs" dxfId="419" priority="29" operator="equal">
      <formula>"Extremo"</formula>
    </cfRule>
    <cfRule type="cellIs" dxfId="418" priority="30" operator="equal">
      <formula>"Alto"</formula>
    </cfRule>
    <cfRule type="cellIs" dxfId="417" priority="31" operator="equal">
      <formula>"Moderado"</formula>
    </cfRule>
    <cfRule type="cellIs" dxfId="416" priority="32"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6D01B251-6936-44EC-A5D3-7057F47C7B5B}">
          <x14:formula1>
            <xm:f>'Tabla Impacto'!$B$3:$B$8</xm:f>
          </x14:formula1>
          <xm:sqref>L10</xm:sqref>
        </x14:dataValidation>
        <x14:dataValidation type="list" allowBlank="1" showInputMessage="1" showErrorMessage="1" xr:uid="{F91E1B4C-101A-4257-8F4B-9D8E4A2A9B68}">
          <x14:formula1>
            <xm:f>'Tabla Impacto'!$I$3:$I$8</xm:f>
          </x14:formula1>
          <xm:sqref>B10</xm:sqref>
        </x14:dataValidation>
        <x14:dataValidation type="list" allowBlank="1" showInputMessage="1" showErrorMessage="1" xr:uid="{12AF07FF-59C2-44A2-BAF0-012060007395}">
          <x14:formula1>
            <xm:f>'Tabla Valoración controles'!$D$4:$D$6</xm:f>
          </x14:formula1>
          <xm:sqref>R11:R12</xm:sqref>
        </x14:dataValidation>
        <x14:dataValidation type="list" allowBlank="1" showInputMessage="1" showErrorMessage="1" xr:uid="{2E9DE5FC-7980-43F1-B0D1-9663B195D561}">
          <x14:formula1>
            <xm:f>'Tabla Valoración controles'!$D$7:$D$8</xm:f>
          </x14:formula1>
          <xm:sqref>S11:S12</xm:sqref>
        </x14:dataValidation>
        <x14:dataValidation type="list" allowBlank="1" showInputMessage="1" showErrorMessage="1" xr:uid="{7D58ADB3-3993-4EFD-9A3B-8058FAC461A8}">
          <x14:formula1>
            <xm:f>'Tabla Valoración controles'!$D$9:$D$10</xm:f>
          </x14:formula1>
          <xm:sqref>U11:U12</xm:sqref>
        </x14:dataValidation>
        <x14:dataValidation type="list" allowBlank="1" showInputMessage="1" showErrorMessage="1" xr:uid="{96FE3445-ED0A-42FE-BD98-41B60C30DE4E}">
          <x14:formula1>
            <xm:f>'Tabla Valoración controles'!$D$11:$D$12</xm:f>
          </x14:formula1>
          <xm:sqref>V11:V12</xm:sqref>
        </x14:dataValidation>
        <x14:dataValidation type="list" allowBlank="1" showInputMessage="1" showErrorMessage="1" xr:uid="{1CEA3309-0332-4683-96B1-FC021DCF6CAD}">
          <x14:formula1>
            <xm:f>'Tabla Valoración controles'!$D$13:$D$14</xm:f>
          </x14:formula1>
          <xm:sqref>W11:W12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5">
    <tabColor rgb="FF00B050"/>
  </sheetPr>
  <dimension ref="A1:BQ17"/>
  <sheetViews>
    <sheetView topLeftCell="L7" zoomScale="82" zoomScaleNormal="82" workbookViewId="0">
      <selection activeCell="AF10" sqref="AF10"/>
    </sheetView>
  </sheetViews>
  <sheetFormatPr baseColWidth="10" defaultColWidth="11.28515625" defaultRowHeight="16.5" outlineLevelCol="1" x14ac:dyDescent="0.3"/>
  <cols>
    <col min="1" max="1" width="4" style="2" bestFit="1" customWidth="1"/>
    <col min="2" max="2" width="14.140625" style="2" customWidth="1"/>
    <col min="3" max="3" width="18.7109375" style="2" customWidth="1"/>
    <col min="4" max="4" width="35" style="2" customWidth="1"/>
    <col min="5" max="5" width="36.28515625" style="1" customWidth="1"/>
    <col min="6" max="6" width="19" style="5" customWidth="1" outlineLevel="1"/>
    <col min="7" max="7" width="17.85546875" style="1" customWidth="1" outlineLevel="1"/>
    <col min="8" max="8" width="16.28515625" style="1" customWidth="1" outlineLevel="1"/>
    <col min="9" max="9" width="6.140625" style="1" customWidth="1" outlineLevel="1"/>
    <col min="10" max="10" width="24.7109375" style="1" customWidth="1" outlineLevel="1"/>
    <col min="11" max="11" width="24.85546875" style="1" customWidth="1" outlineLevel="1"/>
    <col min="12" max="12" width="17.28515625" style="1" customWidth="1" outlineLevel="1"/>
    <col min="13" max="13" width="6.140625" style="1" customWidth="1" outlineLevel="1"/>
    <col min="14" max="14" width="16" style="1" customWidth="1" outlineLevel="1"/>
    <col min="15" max="16" width="5.85546875" style="1" customWidth="1"/>
    <col min="17" max="17" width="62" style="158" customWidth="1"/>
    <col min="18" max="18" width="17.28515625" style="1" customWidth="1"/>
    <col min="19" max="19" width="6.85546875" style="1" customWidth="1"/>
    <col min="20" max="20" width="5" style="1" customWidth="1"/>
    <col min="21" max="21" width="5.28515625" style="1" customWidth="1"/>
    <col min="22" max="22" width="7.140625" style="1" customWidth="1"/>
    <col min="23" max="23" width="6.85546875" style="1" customWidth="1"/>
    <col min="24" max="24" width="7.28515625" style="1" customWidth="1"/>
    <col min="25" max="25" width="9.28515625" style="1" customWidth="1"/>
    <col min="26" max="26" width="8.85546875" style="1" customWidth="1"/>
    <col min="27" max="27" width="10.28515625" style="1" customWidth="1"/>
    <col min="28" max="29" width="9.140625" style="1" customWidth="1"/>
    <col min="30" max="30" width="8.28515625" style="1" customWidth="1"/>
    <col min="31" max="31" width="7.140625" style="1" customWidth="1"/>
    <col min="32" max="32" width="42.7109375" style="1" customWidth="1"/>
    <col min="33" max="33" width="23.28515625" style="1" customWidth="1"/>
    <col min="34" max="34" width="16.85546875" style="1" customWidth="1"/>
    <col min="35" max="35" width="14.85546875" style="1" customWidth="1"/>
    <col min="36" max="36" width="34" style="1" customWidth="1"/>
    <col min="37" max="37" width="21" style="1" customWidth="1"/>
    <col min="38" max="16384" width="11.28515625" style="1"/>
  </cols>
  <sheetData>
    <row r="1" spans="1:69" ht="16.5" customHeight="1" x14ac:dyDescent="0.3">
      <c r="A1" s="201" t="s">
        <v>60</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202"/>
      <c r="AK1" s="203"/>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row>
    <row r="2" spans="1:69" ht="24" customHeight="1" x14ac:dyDescent="0.3">
      <c r="A2" s="204"/>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6"/>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row>
    <row r="3" spans="1:69" x14ac:dyDescent="0.3">
      <c r="A3" s="28"/>
      <c r="B3" s="29"/>
      <c r="C3" s="28"/>
      <c r="D3" s="28"/>
      <c r="E3" s="8"/>
      <c r="F3" s="27"/>
      <c r="G3" s="8"/>
      <c r="H3" s="8"/>
      <c r="I3" s="8"/>
      <c r="J3" s="8"/>
      <c r="K3" s="8"/>
      <c r="L3" s="8"/>
      <c r="M3" s="8"/>
      <c r="N3" s="8"/>
      <c r="O3" s="8"/>
      <c r="P3" s="8"/>
      <c r="Q3" s="29"/>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row>
    <row r="4" spans="1:69" ht="26.65" customHeight="1" x14ac:dyDescent="0.3">
      <c r="A4" s="188" t="s">
        <v>61</v>
      </c>
      <c r="B4" s="189"/>
      <c r="C4" s="162" t="s">
        <v>215</v>
      </c>
      <c r="D4" s="164"/>
      <c r="E4" s="164"/>
      <c r="F4" s="164"/>
      <c r="G4" s="164"/>
      <c r="H4" s="164"/>
      <c r="I4" s="164"/>
      <c r="J4" s="164"/>
      <c r="K4" s="164"/>
      <c r="L4" s="164"/>
      <c r="M4" s="164"/>
      <c r="N4" s="165"/>
      <c r="O4" s="26"/>
      <c r="P4" s="26"/>
      <c r="Q4" s="26"/>
      <c r="R4" s="26"/>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row>
    <row r="5" spans="1:69" ht="30.4" customHeight="1" x14ac:dyDescent="0.3">
      <c r="A5" s="188" t="s">
        <v>62</v>
      </c>
      <c r="B5" s="189"/>
      <c r="C5" s="163" t="s">
        <v>216</v>
      </c>
      <c r="D5" s="164"/>
      <c r="E5" s="164"/>
      <c r="F5" s="164"/>
      <c r="G5" s="164"/>
      <c r="H5" s="164"/>
      <c r="I5" s="164"/>
      <c r="J5" s="164"/>
      <c r="K5" s="164"/>
      <c r="L5" s="164"/>
      <c r="M5" s="164"/>
      <c r="N5" s="165"/>
      <c r="O5" s="8"/>
      <c r="P5" s="8"/>
      <c r="Q5" s="29"/>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row>
    <row r="6" spans="1:69" ht="49.9" customHeight="1" x14ac:dyDescent="0.3">
      <c r="A6" s="188" t="s">
        <v>63</v>
      </c>
      <c r="B6" s="189"/>
      <c r="C6" s="163" t="s">
        <v>217</v>
      </c>
      <c r="D6" s="164"/>
      <c r="E6" s="164"/>
      <c r="F6" s="164"/>
      <c r="G6" s="164"/>
      <c r="H6" s="164"/>
      <c r="I6" s="164"/>
      <c r="J6" s="164"/>
      <c r="K6" s="164"/>
      <c r="L6" s="164"/>
      <c r="M6" s="164"/>
      <c r="N6" s="165"/>
      <c r="O6" s="8"/>
      <c r="P6" s="8"/>
      <c r="Q6" s="29"/>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row>
    <row r="7" spans="1:69" x14ac:dyDescent="0.3">
      <c r="A7" s="190" t="s">
        <v>64</v>
      </c>
      <c r="B7" s="191"/>
      <c r="C7" s="191"/>
      <c r="D7" s="191"/>
      <c r="E7" s="191"/>
      <c r="F7" s="191"/>
      <c r="G7" s="192"/>
      <c r="H7" s="190" t="s">
        <v>65</v>
      </c>
      <c r="I7" s="191"/>
      <c r="J7" s="191"/>
      <c r="K7" s="191"/>
      <c r="L7" s="191"/>
      <c r="M7" s="191"/>
      <c r="N7" s="192"/>
      <c r="O7" s="190" t="s">
        <v>66</v>
      </c>
      <c r="P7" s="191"/>
      <c r="Q7" s="191"/>
      <c r="R7" s="191"/>
      <c r="S7" s="191"/>
      <c r="T7" s="191"/>
      <c r="U7" s="191"/>
      <c r="V7" s="191"/>
      <c r="W7" s="191"/>
      <c r="X7" s="192"/>
      <c r="Y7" s="190" t="s">
        <v>67</v>
      </c>
      <c r="Z7" s="191"/>
      <c r="AA7" s="191"/>
      <c r="AB7" s="191"/>
      <c r="AC7" s="191"/>
      <c r="AD7" s="191"/>
      <c r="AE7" s="192"/>
      <c r="AF7" s="193" t="s">
        <v>68</v>
      </c>
      <c r="AG7" s="194"/>
      <c r="AH7" s="194"/>
      <c r="AI7" s="194"/>
      <c r="AJ7" s="194"/>
      <c r="AK7" s="195"/>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row>
    <row r="8" spans="1:69" ht="88.5" x14ac:dyDescent="0.3">
      <c r="A8" s="196" t="s">
        <v>69</v>
      </c>
      <c r="B8" s="198" t="s">
        <v>15</v>
      </c>
      <c r="C8" s="178" t="s">
        <v>17</v>
      </c>
      <c r="D8" s="178" t="s">
        <v>19</v>
      </c>
      <c r="E8" s="199" t="s">
        <v>21</v>
      </c>
      <c r="F8" s="177" t="s">
        <v>23</v>
      </c>
      <c r="G8" s="178" t="s">
        <v>70</v>
      </c>
      <c r="H8" s="200" t="s">
        <v>71</v>
      </c>
      <c r="I8" s="181" t="s">
        <v>72</v>
      </c>
      <c r="J8" s="177" t="s">
        <v>73</v>
      </c>
      <c r="K8" s="177" t="s">
        <v>74</v>
      </c>
      <c r="L8" s="179" t="s">
        <v>75</v>
      </c>
      <c r="M8" s="181" t="s">
        <v>72</v>
      </c>
      <c r="N8" s="178" t="s">
        <v>29</v>
      </c>
      <c r="O8" s="184" t="s">
        <v>76</v>
      </c>
      <c r="P8" s="159"/>
      <c r="Q8" s="176" t="s">
        <v>31</v>
      </c>
      <c r="R8" s="177" t="s">
        <v>33</v>
      </c>
      <c r="S8" s="175" t="s">
        <v>77</v>
      </c>
      <c r="T8" s="176"/>
      <c r="U8" s="176"/>
      <c r="V8" s="176"/>
      <c r="W8" s="176"/>
      <c r="X8" s="176"/>
      <c r="Y8" s="175" t="s">
        <v>78</v>
      </c>
      <c r="Z8" s="175" t="s">
        <v>79</v>
      </c>
      <c r="AA8" s="175" t="s">
        <v>72</v>
      </c>
      <c r="AB8" s="175" t="s">
        <v>80</v>
      </c>
      <c r="AC8" s="175" t="s">
        <v>72</v>
      </c>
      <c r="AD8" s="175" t="s">
        <v>81</v>
      </c>
      <c r="AE8" s="184" t="s">
        <v>49</v>
      </c>
      <c r="AF8" s="182" t="s">
        <v>68</v>
      </c>
      <c r="AG8" s="186" t="s">
        <v>82</v>
      </c>
      <c r="AH8" s="182" t="s">
        <v>264</v>
      </c>
      <c r="AI8" s="182" t="s">
        <v>265</v>
      </c>
      <c r="AJ8" s="182" t="s">
        <v>262</v>
      </c>
      <c r="AK8" s="182" t="s">
        <v>263</v>
      </c>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row>
    <row r="9" spans="1:69" s="4" customFormat="1" ht="30.75" customHeight="1" x14ac:dyDescent="0.25">
      <c r="A9" s="197"/>
      <c r="B9" s="198"/>
      <c r="C9" s="176"/>
      <c r="D9" s="176"/>
      <c r="E9" s="198"/>
      <c r="F9" s="178"/>
      <c r="G9" s="176"/>
      <c r="H9" s="178"/>
      <c r="I9" s="180"/>
      <c r="J9" s="178"/>
      <c r="K9" s="178"/>
      <c r="L9" s="180"/>
      <c r="M9" s="180"/>
      <c r="N9" s="176"/>
      <c r="O9" s="185"/>
      <c r="P9" s="160"/>
      <c r="Q9" s="176"/>
      <c r="R9" s="178"/>
      <c r="S9" s="111" t="s">
        <v>83</v>
      </c>
      <c r="T9" s="111" t="s">
        <v>84</v>
      </c>
      <c r="U9" s="111" t="s">
        <v>85</v>
      </c>
      <c r="V9" s="111" t="s">
        <v>86</v>
      </c>
      <c r="W9" s="111" t="s">
        <v>87</v>
      </c>
      <c r="X9" s="111" t="s">
        <v>88</v>
      </c>
      <c r="Y9" s="175"/>
      <c r="Z9" s="175"/>
      <c r="AA9" s="175"/>
      <c r="AB9" s="175"/>
      <c r="AC9" s="175"/>
      <c r="AD9" s="175"/>
      <c r="AE9" s="185"/>
      <c r="AF9" s="183"/>
      <c r="AG9" s="187"/>
      <c r="AH9" s="183"/>
      <c r="AI9" s="183"/>
      <c r="AJ9" s="183"/>
      <c r="AK9" s="183"/>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row>
    <row r="10" spans="1:69" s="3" customFormat="1" ht="170.65" customHeight="1" x14ac:dyDescent="0.25">
      <c r="A10" s="559">
        <v>1</v>
      </c>
      <c r="B10" s="556" t="s">
        <v>89</v>
      </c>
      <c r="C10" s="553" t="s">
        <v>347</v>
      </c>
      <c r="D10" s="407" t="s">
        <v>343</v>
      </c>
      <c r="E10" s="538" t="s">
        <v>441</v>
      </c>
      <c r="F10" s="538" t="s">
        <v>90</v>
      </c>
      <c r="G10" s="535">
        <v>24</v>
      </c>
      <c r="H10" s="532" t="str">
        <f>IF(G10&lt;=0,"",IF(G10&lt;=2,"Muy Baja",IF(G10&lt;=24,"Baja",IF(G10&lt;=500,"Media",IF(G10&lt;=5000,"Alta","Muy Alta")))))</f>
        <v>Baja</v>
      </c>
      <c r="I10" s="529">
        <f>IF(H10="","",IF(H10="Muy Baja",0.2,IF(H10="Baja",0.4,IF(H10="Media",0.6,IF(H10="Alta",0.8,IF(H10="Muy Alta",1,))))))</f>
        <v>0.4</v>
      </c>
      <c r="J10" s="550" t="str">
        <f>IF(OR($B$10="Reputacional",$B$10="Económica"),VLOOKUP($L$10,'Tabla Impacto'!$B$4:$G$8,4,0),IF(AND($B$10="Reputacional y Económica"),VLOOKUP($L$10,'Tabla Impacto'!$B$4:$G$8,5,0),((VLOOKUP($L$10,'Tabla Impacto'!$B$4:$G$8,2,0)))))</f>
        <v>El Impacto se evalúo como Menor. El riesgo afecta la imagen de la entidad internamente, de conocimiento general, nivel interno, de junta dircetiva y accionistas y/o de provedores.</v>
      </c>
      <c r="K10" s="550" t="str">
        <f>IF(OR($B$10="Reputacional",$B$10="Económica"),VLOOKUP($L$10,'Tabla Impacto'!$B$4:$G$8,4,0),IF(AND($B$10="Reputacional y Económica"),VLOOKUP($L$10,'Tabla Impacto'!$B$4:$G$8,5,0),((VLOOKUP($L$10,'Tabla Impacto'!$B$4:$G$8,2,0)))))</f>
        <v>El Impacto se evalúo como Menor. El riesgo afecta la imagen de la entidad internamente, de conocimiento general, nivel interno, de junta dircetiva y accionistas y/o de provedores.</v>
      </c>
      <c r="L10" s="547" t="s">
        <v>140</v>
      </c>
      <c r="M10" s="544">
        <f>VLOOKUP(L10,'Tabla Impacto'!$B$4:$G$8,6,0)</f>
        <v>0.4</v>
      </c>
      <c r="N10" s="541"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118">
        <v>1</v>
      </c>
      <c r="P10" s="161"/>
      <c r="Q10" s="256" t="s">
        <v>443</v>
      </c>
      <c r="R10" s="402" t="str">
        <f t="shared" ref="R10" si="0">IF(OR(S10="Preventivo",S10="Detectivo"),"Probabilidad",IF(S10="Correctivo","Impacto",""))</f>
        <v>Probabilidad</v>
      </c>
      <c r="S10" s="317" t="s">
        <v>97</v>
      </c>
      <c r="T10" s="317" t="s">
        <v>92</v>
      </c>
      <c r="U10" s="318" t="str">
        <f t="shared" ref="U10" si="1">IF(AND(S10="Preventivo",T10="Automático"),"50%",IF(AND(S10="Preventivo",T10="Manual"),"40%",IF(AND(S10="Detectivo",T10="Automático"),"40%",IF(AND(S10="Detectivo",T10="Manual"),"30%",IF(AND(S10="Correctivo",T10="Automático"),"35%",IF(AND(S10="Correctivo",T10="Manual"),"25%",""))))))</f>
        <v>30%</v>
      </c>
      <c r="V10" s="317" t="s">
        <v>93</v>
      </c>
      <c r="W10" s="317" t="s">
        <v>94</v>
      </c>
      <c r="X10" s="317" t="s">
        <v>95</v>
      </c>
      <c r="Y10" s="319">
        <f>IFERROR(IF(R10="Probabilidad",(I10-(+I10*U10)),IF(R10="Impacto",I10,"")),"")</f>
        <v>0.28000000000000003</v>
      </c>
      <c r="Z10" s="320" t="str">
        <f>IFERROR(IF(Y10="","",IF(Y10&lt;=0.2,"Muy Baja",IF(Y10&lt;=0.4,"Baja",IF(Y10&lt;=0.6,"Media",IF(Y10&lt;=0.8,"Alta","Muy Alta"))))),"")</f>
        <v>Baja</v>
      </c>
      <c r="AA10" s="146">
        <f t="shared" ref="AA10:AA13" si="2">+Y10</f>
        <v>0.28000000000000003</v>
      </c>
      <c r="AB10" s="320" t="str">
        <f>IFERROR(IF(AC10="","",IF(AC10&lt;=0.2,"Leve",IF(AC10&lt;=0.4,"Menor",IF(AC10&lt;=0.6,"Moderado",IF(AC10&lt;=0.8,"Mayor","Catastrófico"))))),"")</f>
        <v>Menor</v>
      </c>
      <c r="AC10" s="146">
        <f>IFERROR(IF(R10="Impacto",(M10-(+M10*U10)),IF(R10="Probabilidad",M10,"")),"")</f>
        <v>0.4</v>
      </c>
      <c r="AD10" s="321" t="str">
        <f t="shared" ref="AD10:AD13" si="3">IFERROR(IF(OR(AND(Z10="Muy Baja",AB10="Leve"),AND(Z10="Muy Baja",AB10="Menor"),AND(Z10="Baja",AB10="Leve")),"Bajo",IF(OR(AND(Z10="Muy baja",AB10="Moderado"),AND(Z10="Baja",AB10="Menor"),AND(Z10="Baja",AB10="Moderado"),AND(Z10="Media",AB10="Leve"),AND(Z10="Media",AB10="Menor"),AND(Z10="Media",AB10="Moderado"),AND(Z10="Alta",AB10="Leve"),AND(Z10="Alta",AB10="Menor")),"Moderado",IF(OR(AND(Z10="Muy Baja",AB10="Mayor"),AND(Z10="Baja",AB10="Mayor"),AND(Z10="Media",AB10="Mayor"),AND(Z10="Alta",AB10="Moderado"),AND(Z10="Alta",AB10="Mayor"),AND(Z10="Muy Alta",AB10="Leve"),AND(Z10="Muy Alta",AB10="Menor"),AND(Z10="Muy Alta",AB10="Moderado"),AND(Z10="Muy Alta",AB10="Mayor")),"Alto",IF(OR(AND(Z10="Muy Baja",AB10="Catastrófico"),AND(Z10="Baja",AB10="Catastrófico"),AND(Z10="Media",AB10="Catastrófico"),AND(Z10="Alta",AB10="Catastrófico"),AND(Z10="Muy Alta",AB10="Catastrófico")),"Extremo","")))),"")</f>
        <v>Moderado</v>
      </c>
      <c r="AE10" s="322" t="s">
        <v>96</v>
      </c>
      <c r="AF10" s="379" t="s">
        <v>444</v>
      </c>
      <c r="AG10" s="379" t="s">
        <v>280</v>
      </c>
      <c r="AH10" s="379" t="s">
        <v>399</v>
      </c>
      <c r="AI10" s="403" t="str">
        <f>AH10</f>
        <v>Enero a diciembre de 2026</v>
      </c>
      <c r="AJ10" s="404" t="s">
        <v>446</v>
      </c>
      <c r="AK10" s="403" t="s">
        <v>268</v>
      </c>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row>
    <row r="11" spans="1:69" ht="94.5" x14ac:dyDescent="0.3">
      <c r="A11" s="560"/>
      <c r="B11" s="557"/>
      <c r="C11" s="554"/>
      <c r="D11" s="407" t="s">
        <v>345</v>
      </c>
      <c r="E11" s="539"/>
      <c r="F11" s="539"/>
      <c r="G11" s="536"/>
      <c r="H11" s="533"/>
      <c r="I11" s="530"/>
      <c r="J11" s="551"/>
      <c r="K11" s="551"/>
      <c r="L11" s="548"/>
      <c r="M11" s="545"/>
      <c r="N11" s="542"/>
      <c r="O11" s="118">
        <v>2</v>
      </c>
      <c r="P11" s="2"/>
      <c r="Q11" s="256" t="s">
        <v>442</v>
      </c>
      <c r="R11" s="405" t="str">
        <f>IF(OR(S11="Preventivo",S11="Detectivo"),"Probabilidad",IF(S11="Correctivo","Impacto",""))</f>
        <v>Probabilidad</v>
      </c>
      <c r="S11" s="317" t="s">
        <v>91</v>
      </c>
      <c r="T11" s="317" t="s">
        <v>92</v>
      </c>
      <c r="U11" s="318" t="str">
        <f>IF(AND(S11="Preventivo",T11="Automático"),"50%",IF(AND(S11="Preventivo",T11="Manual"),"40%",IF(AND(S11="Detectivo",T11="Automático"),"40%",IF(AND(S11="Detectivo",T11="Manual"),"30%",IF(AND(S11="Correctivo",T11="Automático"),"35%",IF(AND(S11="Correctivo",T11="Manual"),"25%",""))))))</f>
        <v>40%</v>
      </c>
      <c r="V11" s="317" t="s">
        <v>93</v>
      </c>
      <c r="W11" s="317" t="s">
        <v>99</v>
      </c>
      <c r="X11" s="317" t="s">
        <v>95</v>
      </c>
      <c r="Y11" s="319">
        <f>IFERROR(IF(AND(R14="Probabilidad",R11="Probabilidad"),(AA14-(+AA14*U11)),IF(R11="Probabilidad",(I14-(+I14*U11)),IF(R11="Impacto",AA14,""))),"")</f>
        <v>0</v>
      </c>
      <c r="Z11" s="320" t="str">
        <f>IFERROR(IF(Y11="","",IF(Y11&lt;=0.2,"Muy Baja",IF(Y11&lt;=0.4,"Baja",IF(Y11&lt;=0.6,"Media",IF(Y11&lt;=0.8,"Alta","Muy Alta"))))),"")</f>
        <v>Muy Baja</v>
      </c>
      <c r="AA11" s="146">
        <f t="shared" ref="AA11:AA12" si="4">+Y11</f>
        <v>0</v>
      </c>
      <c r="AB11" s="320" t="str">
        <f t="shared" ref="AB11:AB12" si="5">IFERROR(IF(AC11="","",IF(AC11&lt;=0.2,"Leve",IF(AC11&lt;=0.4,"Menor",IF(AC11&lt;=0.6,"Moderado",IF(AC11&lt;=0.8,"Mayor","Catastrófico"))))),"")</f>
        <v>Leve</v>
      </c>
      <c r="AC11" s="146">
        <f t="shared" ref="AC11:AC12" si="6">IFERROR(IF(R11="Impacto",(M11-(+M11*U11)),IF(R11="Probabilidad",M11,"")),"")</f>
        <v>0</v>
      </c>
      <c r="AD11" s="321" t="str">
        <f t="shared" ref="AD11:AD12" si="7">IFERROR(IF(OR(AND(Z11="Muy Baja",AB11="Leve"),AND(Z11="Muy Baja",AB11="Menor"),AND(Z11="Baja",AB11="Leve")),"Bajo",IF(OR(AND(Z11="Muy baja",AB11="Moderado"),AND(Z11="Baja",AB11="Menor"),AND(Z11="Baja",AB11="Moderado"),AND(Z11="Media",AB11="Leve"),AND(Z11="Media",AB11="Menor"),AND(Z11="Media",AB11="Moderado"),AND(Z11="Alta",AB11="Leve"),AND(Z11="Alta",AB11="Menor")),"Moderado",IF(OR(AND(Z11="Muy Baja",AB11="Mayor"),AND(Z11="Baja",AB11="Mayor"),AND(Z11="Media",AB11="Mayor"),AND(Z11="Alta",AB11="Moderado"),AND(Z11="Alta",AB11="Mayor"),AND(Z11="Muy Alta",AB11="Leve"),AND(Z11="Muy Alta",AB11="Menor"),AND(Z11="Muy Alta",AB11="Moderado"),AND(Z11="Muy Alta",AB11="Mayor")),"Alto",IF(OR(AND(Z11="Muy Baja",AB11="Catastrófico"),AND(Z11="Baja",AB11="Catastrófico"),AND(Z11="Media",AB11="Catastrófico"),AND(Z11="Alta",AB11="Catastrófico"),AND(Z11="Muy Alta",AB11="Catastrófico")),"Extremo","")))),"")</f>
        <v>Bajo</v>
      </c>
      <c r="AE11" s="322" t="s">
        <v>96</v>
      </c>
      <c r="AF11" s="379" t="s">
        <v>448</v>
      </c>
      <c r="AG11" s="379" t="s">
        <v>280</v>
      </c>
      <c r="AH11" s="379" t="s">
        <v>399</v>
      </c>
      <c r="AI11" s="403" t="str">
        <f t="shared" ref="AI11:AI12" si="8">AH11</f>
        <v>Enero a diciembre de 2026</v>
      </c>
      <c r="AJ11" s="404" t="s">
        <v>447</v>
      </c>
      <c r="AK11" s="403" t="s">
        <v>268</v>
      </c>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row>
    <row r="12" spans="1:69" ht="94.5" x14ac:dyDescent="0.3">
      <c r="A12" s="560"/>
      <c r="B12" s="557"/>
      <c r="C12" s="554"/>
      <c r="D12" s="407" t="s">
        <v>346</v>
      </c>
      <c r="E12" s="539"/>
      <c r="F12" s="539"/>
      <c r="G12" s="536"/>
      <c r="H12" s="533"/>
      <c r="I12" s="530"/>
      <c r="J12" s="551"/>
      <c r="K12" s="551"/>
      <c r="L12" s="548"/>
      <c r="M12" s="545"/>
      <c r="N12" s="542"/>
      <c r="O12" s="118">
        <v>3</v>
      </c>
      <c r="P12" s="2"/>
      <c r="Q12" s="408" t="s">
        <v>454</v>
      </c>
      <c r="R12" s="405" t="str">
        <f>IF(OR(S12="Preventivo",S12="Detectivo"),"Probabilidad",IF(S12="Correctivo","Impacto",""))</f>
        <v>Probabilidad</v>
      </c>
      <c r="S12" s="406" t="s">
        <v>91</v>
      </c>
      <c r="T12" s="317" t="s">
        <v>92</v>
      </c>
      <c r="U12" s="318" t="str">
        <f t="shared" ref="U12" si="9">IF(AND(S12="Preventivo",T12="Automático"),"50%",IF(AND(S12="Preventivo",T12="Manual"),"40%",IF(AND(S12="Detectivo",T12="Automático"),"40%",IF(AND(S12="Detectivo",T12="Manual"),"30%",IF(AND(S12="Correctivo",T12="Automático"),"35%",IF(AND(S12="Correctivo",T12="Manual"),"25%",""))))))</f>
        <v>40%</v>
      </c>
      <c r="V12" s="317" t="s">
        <v>93</v>
      </c>
      <c r="W12" s="317" t="s">
        <v>99</v>
      </c>
      <c r="X12" s="317" t="s">
        <v>95</v>
      </c>
      <c r="Y12" s="319">
        <f>IFERROR(IF(AND(R11="Probabilidad",R12="Probabilidad"),(AA11-(+AA11*U12)),IF(R12="Probabilidad",(I11-(+I11*U12)),IF(R12="Impacto",AA11,""))),"")</f>
        <v>0</v>
      </c>
      <c r="Z12" s="320" t="str">
        <f>IFERROR(IF(Y12="","",IF(Y12&lt;=0.2,"Muy Baja",IF(Y12&lt;=0.4,"Baja",IF(Y12&lt;=0.6,"Media",IF(Y12&lt;=0.8,"Alta","Muy Alta"))))),"")</f>
        <v>Muy Baja</v>
      </c>
      <c r="AA12" s="146">
        <f t="shared" si="4"/>
        <v>0</v>
      </c>
      <c r="AB12" s="320" t="str">
        <f t="shared" si="5"/>
        <v>Leve</v>
      </c>
      <c r="AC12" s="146">
        <f t="shared" si="6"/>
        <v>0</v>
      </c>
      <c r="AD12" s="321" t="str">
        <f t="shared" si="7"/>
        <v>Bajo</v>
      </c>
      <c r="AE12" s="322" t="s">
        <v>96</v>
      </c>
      <c r="AF12" s="379" t="s">
        <v>445</v>
      </c>
      <c r="AG12" s="379" t="s">
        <v>280</v>
      </c>
      <c r="AH12" s="379" t="s">
        <v>399</v>
      </c>
      <c r="AI12" s="403" t="str">
        <f t="shared" si="8"/>
        <v>Enero a diciembre de 2026</v>
      </c>
      <c r="AJ12" s="404" t="s">
        <v>449</v>
      </c>
      <c r="AK12" s="403" t="s">
        <v>268</v>
      </c>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row>
    <row r="13" spans="1:69" ht="36" customHeight="1" x14ac:dyDescent="0.3">
      <c r="A13" s="560"/>
      <c r="B13" s="557"/>
      <c r="C13" s="554"/>
      <c r="D13" s="562" t="s">
        <v>344</v>
      </c>
      <c r="E13" s="539"/>
      <c r="F13" s="539"/>
      <c r="G13" s="536"/>
      <c r="H13" s="533"/>
      <c r="I13" s="530"/>
      <c r="J13" s="551"/>
      <c r="K13" s="551"/>
      <c r="L13" s="548"/>
      <c r="M13" s="545"/>
      <c r="N13" s="542"/>
      <c r="O13" s="355"/>
      <c r="P13" s="356"/>
      <c r="Q13" s="357"/>
      <c r="R13" s="207"/>
      <c r="S13" s="112"/>
      <c r="T13" s="112"/>
      <c r="U13" s="113"/>
      <c r="V13" s="112"/>
      <c r="W13" s="112"/>
      <c r="X13" s="112"/>
      <c r="Y13" s="114" t="str">
        <f>IFERROR(IF(AND(R10="Probabilidad",R13="Probabilidad"),(AA10-(+AA10*U13)),IF(R13="Probabilidad",(I10-(+I10*U13)),IF(R13="Impacto",AA10,""))),"")</f>
        <v/>
      </c>
      <c r="Z13" s="115" t="str">
        <f t="shared" ref="Z13" si="10">IFERROR(IF(Y13="","",IF(Y13&lt;=0.2,"Muy Baja",IF(Y13&lt;=0.4,"Baja",IF(Y13&lt;=0.6,"Media",IF(Y13&lt;=0.8,"Alta","Muy Alta"))))),"")</f>
        <v/>
      </c>
      <c r="AA13" s="116" t="str">
        <f t="shared" si="2"/>
        <v/>
      </c>
      <c r="AB13" s="115" t="str">
        <f t="shared" ref="AB13" si="11">IFERROR(IF(AC13="","",IF(AC13&lt;=0.2,"Leve",IF(AC13&lt;=0.4,"Menor",IF(AC13&lt;=0.6,"Moderado",IF(AC13&lt;=0.8,"Mayor","Catastrófico"))))),"")</f>
        <v/>
      </c>
      <c r="AC13" s="116" t="str">
        <f>IFERROR(IF(AND(R10="Impacto",R13="Impacto"),(AC10-(+AC10*U13)),IF(R13="Impacto",($M$10-(+$M$10*U13)),IF(R13="Probabilidad",AC10,""))),"")</f>
        <v/>
      </c>
      <c r="AD13" s="117" t="str">
        <f t="shared" si="3"/>
        <v/>
      </c>
      <c r="AE13" s="170"/>
      <c r="AF13" s="219"/>
      <c r="AG13" s="166"/>
      <c r="AH13" s="166"/>
      <c r="AI13" s="171"/>
      <c r="AJ13" s="167"/>
      <c r="AK13" s="171"/>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row>
    <row r="14" spans="1:69" ht="54" customHeight="1" x14ac:dyDescent="0.3">
      <c r="A14" s="561"/>
      <c r="B14" s="558"/>
      <c r="C14" s="555"/>
      <c r="D14" s="563"/>
      <c r="E14" s="540"/>
      <c r="F14" s="540"/>
      <c r="G14" s="537"/>
      <c r="H14" s="534"/>
      <c r="I14" s="531"/>
      <c r="J14" s="552"/>
      <c r="K14" s="552"/>
      <c r="L14" s="549"/>
      <c r="M14" s="546"/>
      <c r="N14" s="543"/>
      <c r="O14" s="355"/>
      <c r="P14" s="358"/>
      <c r="Q14" s="357"/>
      <c r="R14" s="207"/>
      <c r="S14" s="112"/>
      <c r="T14" s="112"/>
      <c r="U14" s="113"/>
      <c r="V14" s="112"/>
      <c r="W14" s="112"/>
      <c r="X14" s="112"/>
      <c r="Y14" s="114" t="str">
        <f t="shared" ref="Y14" si="12">IFERROR(IF(AND(R13="Probabilidad",R14="Probabilidad"),(AA13-(+AA13*U14)),IF(R14="Probabilidad",(I13-(+I13*U14)),IF(R14="Impacto",AA13,""))),"")</f>
        <v/>
      </c>
      <c r="Z14" s="115" t="str">
        <f t="shared" ref="Z14" si="13">IFERROR(IF(Y14="","",IF(Y14&lt;=0.2,"Muy Baja",IF(Y14&lt;=0.4,"Baja",IF(Y14&lt;=0.6,"Media",IF(Y14&lt;=0.8,"Alta","Muy Alta"))))),"")</f>
        <v/>
      </c>
      <c r="AA14" s="116" t="str">
        <f t="shared" ref="AA14" si="14">+Y14</f>
        <v/>
      </c>
      <c r="AB14" s="115" t="str">
        <f t="shared" ref="AB14" si="15">IFERROR(IF(AC14="","",IF(AC14&lt;=0.2,"Leve",IF(AC14&lt;=0.4,"Menor",IF(AC14&lt;=0.6,"Moderado",IF(AC14&lt;=0.8,"Mayor","Catastrófico"))))),"")</f>
        <v/>
      </c>
      <c r="AC14" s="116" t="str">
        <f t="shared" ref="AC14" si="16">IFERROR(IF(AND(R13="Impacto",R14="Impacto"),(AC13-(+AC13*U14)),IF(R14="Impacto",($M$10-(+$M$10*U14)),IF(R14="Probabilidad",AC13,""))),"")</f>
        <v/>
      </c>
      <c r="AD14" s="117" t="str">
        <f t="shared" ref="AD14" si="17">IFERROR(IF(OR(AND(Z14="Muy Baja",AB14="Leve"),AND(Z14="Muy Baja",AB14="Menor"),AND(Z14="Baja",AB14="Leve")),"Bajo",IF(OR(AND(Z14="Muy baja",AB14="Moderado"),AND(Z14="Baja",AB14="Menor"),AND(Z14="Baja",AB14="Moderado"),AND(Z14="Media",AB14="Leve"),AND(Z14="Media",AB14="Menor"),AND(Z14="Media",AB14="Moderado"),AND(Z14="Alta",AB14="Leve"),AND(Z14="Alta",AB14="Menor")),"Moderado",IF(OR(AND(Z14="Muy Baja",AB14="Mayor"),AND(Z14="Baja",AB14="Mayor"),AND(Z14="Media",AB14="Mayor"),AND(Z14="Alta",AB14="Moderado"),AND(Z14="Alta",AB14="Mayor"),AND(Z14="Muy Alta",AB14="Leve"),AND(Z14="Muy Alta",AB14="Menor"),AND(Z14="Muy Alta",AB14="Moderado"),AND(Z14="Muy Alta",AB14="Mayor")),"Alto",IF(OR(AND(Z14="Muy Baja",AB14="Catastrófico"),AND(Z14="Baja",AB14="Catastrófico"),AND(Z14="Media",AB14="Catastrófico"),AND(Z14="Alta",AB14="Catastrófico"),AND(Z14="Muy Alta",AB14="Catastrófico")),"Extremo","")))),"")</f>
        <v/>
      </c>
      <c r="AE14" s="170"/>
      <c r="AF14" s="166"/>
      <c r="AG14" s="166"/>
      <c r="AH14" s="166"/>
      <c r="AI14" s="171"/>
      <c r="AJ14" s="167"/>
      <c r="AK14" s="171"/>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row>
    <row r="15" spans="1:69" ht="49.9" customHeight="1" x14ac:dyDescent="0.3">
      <c r="A15" s="6"/>
      <c r="B15" s="228" t="s">
        <v>105</v>
      </c>
      <c r="C15" s="172"/>
      <c r="D15" s="172"/>
      <c r="E15" s="172"/>
      <c r="F15" s="172"/>
      <c r="G15" s="172"/>
      <c r="H15" s="172"/>
      <c r="I15" s="172"/>
      <c r="J15" s="172"/>
      <c r="K15" s="172"/>
      <c r="L15" s="172"/>
      <c r="M15" s="172"/>
      <c r="N15" s="172"/>
      <c r="O15" s="172"/>
      <c r="P15" s="172"/>
      <c r="Q15" s="173"/>
      <c r="R15" s="172"/>
      <c r="S15" s="172"/>
      <c r="T15" s="172"/>
      <c r="U15" s="172"/>
      <c r="V15" s="172"/>
      <c r="W15" s="172"/>
      <c r="X15" s="172"/>
      <c r="Y15" s="172"/>
      <c r="Z15" s="172"/>
      <c r="AA15" s="172"/>
      <c r="AB15" s="172"/>
      <c r="AC15" s="172"/>
      <c r="AD15" s="172"/>
      <c r="AE15" s="172"/>
      <c r="AF15" s="173"/>
      <c r="AG15" s="173"/>
      <c r="AH15" s="173"/>
      <c r="AI15" s="173"/>
      <c r="AJ15" s="173"/>
      <c r="AK15" s="174"/>
    </row>
    <row r="17" spans="1:6" x14ac:dyDescent="0.3">
      <c r="A17" s="1"/>
      <c r="B17" s="24"/>
      <c r="C17" s="1"/>
      <c r="D17" s="1"/>
      <c r="F17" s="1"/>
    </row>
  </sheetData>
  <dataConsolidate/>
  <mergeCells count="14">
    <mergeCell ref="E10:E14"/>
    <mergeCell ref="C10:C14"/>
    <mergeCell ref="B10:B14"/>
    <mergeCell ref="A10:A14"/>
    <mergeCell ref="D13:D14"/>
    <mergeCell ref="I10:I14"/>
    <mergeCell ref="H10:H14"/>
    <mergeCell ref="G10:G14"/>
    <mergeCell ref="F10:F14"/>
    <mergeCell ref="N10:N14"/>
    <mergeCell ref="M10:M14"/>
    <mergeCell ref="L10:L14"/>
    <mergeCell ref="K10:K14"/>
    <mergeCell ref="J10:J14"/>
  </mergeCells>
  <conditionalFormatting sqref="H10 Z10:Z14">
    <cfRule type="cellIs" dxfId="415" priority="305" operator="equal">
      <formula>"Muy Alta"</formula>
    </cfRule>
    <cfRule type="cellIs" dxfId="414" priority="306" operator="equal">
      <formula>"Alta"</formula>
    </cfRule>
    <cfRule type="cellIs" dxfId="413" priority="307" operator="equal">
      <formula>"Media"</formula>
    </cfRule>
    <cfRule type="cellIs" dxfId="412" priority="308" operator="equal">
      <formula>"Baja"</formula>
    </cfRule>
    <cfRule type="cellIs" dxfId="411" priority="309" operator="equal">
      <formula>"Muy Baja"</formula>
    </cfRule>
  </conditionalFormatting>
  <conditionalFormatting sqref="L10">
    <cfRule type="cellIs" dxfId="410" priority="69" operator="equal">
      <formula>"Catastrófico"</formula>
    </cfRule>
    <cfRule type="cellIs" dxfId="409" priority="70" operator="equal">
      <formula>"Mayor"</formula>
    </cfRule>
    <cfRule type="cellIs" dxfId="408" priority="71" operator="equal">
      <formula>"Moderado"</formula>
    </cfRule>
    <cfRule type="cellIs" dxfId="407" priority="72" operator="equal">
      <formula>"Menor"</formula>
    </cfRule>
    <cfRule type="cellIs" dxfId="406" priority="73" operator="equal">
      <formula>"Leve"</formula>
    </cfRule>
  </conditionalFormatting>
  <conditionalFormatting sqref="M10">
    <cfRule type="containsText" dxfId="405" priority="74" operator="containsText" text="❌">
      <formula>NOT(ISERROR(SEARCH("❌",M10)))</formula>
    </cfRule>
  </conditionalFormatting>
  <conditionalFormatting sqref="N10">
    <cfRule type="cellIs" dxfId="404" priority="75" operator="equal">
      <formula>"Extremo"</formula>
    </cfRule>
    <cfRule type="cellIs" dxfId="403" priority="76" operator="equal">
      <formula>"Alto"</formula>
    </cfRule>
    <cfRule type="cellIs" dxfId="402" priority="77" operator="equal">
      <formula>"Moderado"</formula>
    </cfRule>
    <cfRule type="cellIs" dxfId="401" priority="78" operator="equal">
      <formula>"Bajo"</formula>
    </cfRule>
  </conditionalFormatting>
  <conditionalFormatting sqref="AB10:AB14">
    <cfRule type="cellIs" dxfId="400" priority="286" operator="equal">
      <formula>"Catastrófico"</formula>
    </cfRule>
    <cfRule type="cellIs" dxfId="399" priority="287" operator="equal">
      <formula>"Mayor"</formula>
    </cfRule>
    <cfRule type="cellIs" dxfId="398" priority="288" operator="equal">
      <formula>"Moderado"</formula>
    </cfRule>
    <cfRule type="cellIs" dxfId="397" priority="289" operator="equal">
      <formula>"Menor"</formula>
    </cfRule>
    <cfRule type="cellIs" dxfId="396" priority="290" operator="equal">
      <formula>"Leve"</formula>
    </cfRule>
  </conditionalFormatting>
  <conditionalFormatting sqref="AD10:AD14">
    <cfRule type="cellIs" dxfId="395" priority="282" operator="equal">
      <formula>"Extremo"</formula>
    </cfRule>
    <cfRule type="cellIs" dxfId="394" priority="283" operator="equal">
      <formula>"Alto"</formula>
    </cfRule>
    <cfRule type="cellIs" dxfId="393" priority="284" operator="equal">
      <formula>"Moderado"</formula>
    </cfRule>
    <cfRule type="cellIs" dxfId="392" priority="285"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70BA8EF8-7771-44F8-ADB5-4CE6FD1BC420}">
          <x14:formula1>
            <xm:f>'Tabla Impacto'!$I$3:$I$8</xm:f>
          </x14:formula1>
          <xm:sqref>B10</xm:sqref>
        </x14:dataValidation>
        <x14:dataValidation type="list" allowBlank="1" showInputMessage="1" showErrorMessage="1" xr:uid="{389563AB-7218-4628-B628-8970AF7E38D2}">
          <x14:formula1>
            <xm:f>'Tabla Impacto'!$B$3:$B$8</xm:f>
          </x14:formula1>
          <xm:sqref>L10</xm:sqref>
        </x14:dataValidation>
        <x14:dataValidation type="list" allowBlank="1" showInputMessage="1" showErrorMessage="1" xr:uid="{CF1C7A32-29ED-4493-9469-7C39270B47F1}">
          <x14:formula1>
            <xm:f>'Tabla Valoración controles'!$D$13:$D$14</xm:f>
          </x14:formula1>
          <xm:sqref>X10:X14</xm:sqref>
        </x14:dataValidation>
        <x14:dataValidation type="list" allowBlank="1" showInputMessage="1" showErrorMessage="1" xr:uid="{5632CA2C-4ACC-419A-9D9B-837A514C1167}">
          <x14:formula1>
            <xm:f>'Tabla Valoración controles'!$D$11:$D$12</xm:f>
          </x14:formula1>
          <xm:sqref>W10:W14</xm:sqref>
        </x14:dataValidation>
        <x14:dataValidation type="list" allowBlank="1" showInputMessage="1" showErrorMessage="1" xr:uid="{AEAF33DE-2236-4DB8-8BD7-4D5D0E71A6A3}">
          <x14:formula1>
            <xm:f>'Tabla Valoración controles'!$D$9:$D$10</xm:f>
          </x14:formula1>
          <xm:sqref>V10:V14</xm:sqref>
        </x14:dataValidation>
        <x14:dataValidation type="list" allowBlank="1" showInputMessage="1" showErrorMessage="1" xr:uid="{DED0215E-E137-41F7-B046-33D2162BD26F}">
          <x14:formula1>
            <xm:f>'Tabla Valoración controles'!$D$7:$D$8</xm:f>
          </x14:formula1>
          <xm:sqref>T10:T14</xm:sqref>
        </x14:dataValidation>
        <x14:dataValidation type="list" allowBlank="1" showInputMessage="1" showErrorMessage="1" xr:uid="{72D23B50-BAF7-437F-978D-CDCB05239B28}">
          <x14:formula1>
            <xm:f>'Tabla Valoración controles'!$D$4:$D$6</xm:f>
          </x14:formula1>
          <xm:sqref>S10:S14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
    <tabColor rgb="FF00B050"/>
  </sheetPr>
  <dimension ref="A1:BP14"/>
  <sheetViews>
    <sheetView topLeftCell="K4" zoomScale="70" zoomScaleNormal="70" workbookViewId="0">
      <selection activeCell="P11" sqref="P11"/>
    </sheetView>
  </sheetViews>
  <sheetFormatPr baseColWidth="10" defaultColWidth="11.28515625" defaultRowHeight="16.5" x14ac:dyDescent="0.3"/>
  <cols>
    <col min="1" max="1" width="4" style="2" bestFit="1" customWidth="1"/>
    <col min="2" max="2" width="16.28515625" style="2" customWidth="1"/>
    <col min="3" max="3" width="14.28515625" style="2" customWidth="1"/>
    <col min="4" max="4" width="16.140625" style="2" customWidth="1"/>
    <col min="5" max="5" width="32.28515625" style="1" customWidth="1"/>
    <col min="6" max="6" width="19" style="5" customWidth="1"/>
    <col min="7" max="7" width="17.85546875" style="1" customWidth="1"/>
    <col min="8" max="8" width="16.28515625" style="1" customWidth="1"/>
    <col min="9" max="9" width="6.140625" style="1" customWidth="1"/>
    <col min="10" max="10" width="20.140625" style="1" customWidth="1"/>
    <col min="11" max="11" width="23.85546875" style="1" customWidth="1"/>
    <col min="12" max="12" width="17.28515625" style="1" customWidth="1"/>
    <col min="13" max="13" width="7.85546875" style="1" customWidth="1"/>
    <col min="14" max="14" width="16" style="1" customWidth="1"/>
    <col min="15" max="15" width="5.85546875" style="1" customWidth="1"/>
    <col min="16" max="16" width="64.85546875" style="1" customWidth="1"/>
    <col min="17" max="17" width="15.140625" style="1" bestFit="1" customWidth="1"/>
    <col min="18" max="18" width="6.85546875" style="1" customWidth="1"/>
    <col min="19" max="19" width="5" style="1" customWidth="1"/>
    <col min="20" max="20" width="5.28515625" style="1" customWidth="1"/>
    <col min="21" max="21" width="7.140625" style="1" customWidth="1"/>
    <col min="22" max="22" width="6.85546875" style="1" customWidth="1"/>
    <col min="23" max="23" width="7.28515625" style="1" customWidth="1"/>
    <col min="24" max="24" width="7.7109375" style="1" customWidth="1"/>
    <col min="25" max="25" width="8.85546875" style="1" customWidth="1"/>
    <col min="26" max="26" width="10.28515625" style="1" customWidth="1"/>
    <col min="27" max="28" width="9.140625" style="1" customWidth="1"/>
    <col min="29" max="29" width="8.28515625" style="1" customWidth="1"/>
    <col min="30" max="30" width="7.140625" style="1" customWidth="1"/>
    <col min="31" max="31" width="53.28515625" style="1" customWidth="1"/>
    <col min="32" max="32" width="20.7109375" style="1" customWidth="1"/>
    <col min="33" max="33" width="16.85546875" style="1" customWidth="1"/>
    <col min="34" max="34" width="14.85546875" style="1" customWidth="1"/>
    <col min="35" max="35" width="28.85546875" style="1" customWidth="1"/>
    <col min="36" max="36" width="21" style="1" customWidth="1"/>
    <col min="37" max="16384" width="11.28515625" style="1"/>
  </cols>
  <sheetData>
    <row r="1" spans="1:68" ht="16.5" customHeight="1" x14ac:dyDescent="0.3">
      <c r="A1" s="472" t="s">
        <v>60</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4"/>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row>
    <row r="2" spans="1:68" ht="24" customHeight="1" x14ac:dyDescent="0.3">
      <c r="A2" s="475"/>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7"/>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row>
    <row r="3" spans="1:68" x14ac:dyDescent="0.3">
      <c r="A3" s="28"/>
      <c r="B3" s="29"/>
      <c r="C3" s="28"/>
      <c r="D3" s="28"/>
      <c r="E3" s="8"/>
      <c r="F3" s="2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ht="26.65" customHeight="1" x14ac:dyDescent="0.3">
      <c r="A4" s="478" t="s">
        <v>61</v>
      </c>
      <c r="B4" s="479"/>
      <c r="C4" s="480" t="s">
        <v>209</v>
      </c>
      <c r="D4" s="481"/>
      <c r="E4" s="481"/>
      <c r="F4" s="481"/>
      <c r="G4" s="481"/>
      <c r="H4" s="481"/>
      <c r="I4" s="481"/>
      <c r="J4" s="481"/>
      <c r="K4" s="481"/>
      <c r="L4" s="481"/>
      <c r="M4" s="481"/>
      <c r="N4" s="482"/>
      <c r="O4" s="483"/>
      <c r="P4" s="483"/>
      <c r="Q4" s="483"/>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8" ht="30.4" customHeight="1" x14ac:dyDescent="0.3">
      <c r="A5" s="478" t="s">
        <v>62</v>
      </c>
      <c r="B5" s="479"/>
      <c r="C5" s="480" t="s">
        <v>208</v>
      </c>
      <c r="D5" s="481"/>
      <c r="E5" s="481"/>
      <c r="F5" s="481"/>
      <c r="G5" s="481"/>
      <c r="H5" s="481"/>
      <c r="I5" s="481"/>
      <c r="J5" s="481"/>
      <c r="K5" s="481"/>
      <c r="L5" s="481"/>
      <c r="M5" s="481"/>
      <c r="N5" s="482"/>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8" ht="49.9" customHeight="1" x14ac:dyDescent="0.3">
      <c r="A6" s="478" t="s">
        <v>63</v>
      </c>
      <c r="B6" s="479"/>
      <c r="C6" s="484" t="s">
        <v>207</v>
      </c>
      <c r="D6" s="499"/>
      <c r="E6" s="499"/>
      <c r="F6" s="499"/>
      <c r="G6" s="499"/>
      <c r="H6" s="499"/>
      <c r="I6" s="499"/>
      <c r="J6" s="499"/>
      <c r="K6" s="499"/>
      <c r="L6" s="499"/>
      <c r="M6" s="499"/>
      <c r="N6" s="500"/>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8" x14ac:dyDescent="0.3">
      <c r="A7" s="485" t="s">
        <v>64</v>
      </c>
      <c r="B7" s="486"/>
      <c r="C7" s="486"/>
      <c r="D7" s="486"/>
      <c r="E7" s="486"/>
      <c r="F7" s="486"/>
      <c r="G7" s="487"/>
      <c r="H7" s="485" t="s">
        <v>65</v>
      </c>
      <c r="I7" s="486"/>
      <c r="J7" s="486"/>
      <c r="K7" s="486"/>
      <c r="L7" s="486"/>
      <c r="M7" s="486"/>
      <c r="N7" s="487"/>
      <c r="O7" s="485" t="s">
        <v>66</v>
      </c>
      <c r="P7" s="486"/>
      <c r="Q7" s="486"/>
      <c r="R7" s="486"/>
      <c r="S7" s="486"/>
      <c r="T7" s="486"/>
      <c r="U7" s="486"/>
      <c r="V7" s="486"/>
      <c r="W7" s="487"/>
      <c r="X7" s="485" t="s">
        <v>67</v>
      </c>
      <c r="Y7" s="486"/>
      <c r="Z7" s="486"/>
      <c r="AA7" s="486"/>
      <c r="AB7" s="486"/>
      <c r="AC7" s="486"/>
      <c r="AD7" s="487"/>
      <c r="AE7" s="485" t="s">
        <v>68</v>
      </c>
      <c r="AF7" s="486"/>
      <c r="AG7" s="486"/>
      <c r="AH7" s="486"/>
      <c r="AI7" s="486"/>
      <c r="AJ7" s="487"/>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ht="16.5" customHeight="1" x14ac:dyDescent="0.3">
      <c r="A8" s="490" t="s">
        <v>69</v>
      </c>
      <c r="B8" s="492" t="s">
        <v>15</v>
      </c>
      <c r="C8" s="493" t="s">
        <v>17</v>
      </c>
      <c r="D8" s="493" t="s">
        <v>19</v>
      </c>
      <c r="E8" s="495" t="s">
        <v>21</v>
      </c>
      <c r="F8" s="498" t="s">
        <v>23</v>
      </c>
      <c r="G8" s="493" t="s">
        <v>70</v>
      </c>
      <c r="H8" s="501" t="s">
        <v>71</v>
      </c>
      <c r="I8" s="502" t="s">
        <v>72</v>
      </c>
      <c r="J8" s="498" t="s">
        <v>73</v>
      </c>
      <c r="K8" s="498" t="s">
        <v>74</v>
      </c>
      <c r="L8" s="508" t="s">
        <v>75</v>
      </c>
      <c r="M8" s="502" t="s">
        <v>72</v>
      </c>
      <c r="N8" s="493" t="s">
        <v>29</v>
      </c>
      <c r="O8" s="488" t="s">
        <v>76</v>
      </c>
      <c r="P8" s="496" t="s">
        <v>31</v>
      </c>
      <c r="Q8" s="498" t="s">
        <v>33</v>
      </c>
      <c r="R8" s="494" t="s">
        <v>77</v>
      </c>
      <c r="S8" s="494"/>
      <c r="T8" s="494"/>
      <c r="U8" s="494"/>
      <c r="V8" s="494"/>
      <c r="W8" s="494"/>
      <c r="X8" s="497" t="s">
        <v>78</v>
      </c>
      <c r="Y8" s="497" t="s">
        <v>79</v>
      </c>
      <c r="Z8" s="497" t="s">
        <v>72</v>
      </c>
      <c r="AA8" s="497" t="s">
        <v>80</v>
      </c>
      <c r="AB8" s="497" t="s">
        <v>72</v>
      </c>
      <c r="AC8" s="497" t="s">
        <v>81</v>
      </c>
      <c r="AD8" s="488" t="s">
        <v>49</v>
      </c>
      <c r="AE8" s="496" t="s">
        <v>68</v>
      </c>
      <c r="AF8" s="494" t="s">
        <v>82</v>
      </c>
      <c r="AG8" s="496" t="s">
        <v>264</v>
      </c>
      <c r="AH8" s="496" t="s">
        <v>265</v>
      </c>
      <c r="AI8" s="496" t="s">
        <v>262</v>
      </c>
      <c r="AJ8" s="496" t="s">
        <v>263</v>
      </c>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8" s="4" customFormat="1" ht="94.9" customHeight="1" x14ac:dyDescent="0.25">
      <c r="A9" s="491"/>
      <c r="B9" s="492"/>
      <c r="C9" s="494"/>
      <c r="D9" s="494"/>
      <c r="E9" s="492"/>
      <c r="F9" s="493"/>
      <c r="G9" s="494"/>
      <c r="H9" s="493"/>
      <c r="I9" s="503"/>
      <c r="J9" s="493"/>
      <c r="K9" s="493"/>
      <c r="L9" s="503"/>
      <c r="M9" s="503"/>
      <c r="N9" s="494"/>
      <c r="O9" s="489"/>
      <c r="P9" s="496"/>
      <c r="Q9" s="493"/>
      <c r="R9" s="111" t="s">
        <v>83</v>
      </c>
      <c r="S9" s="111" t="s">
        <v>84</v>
      </c>
      <c r="T9" s="111" t="s">
        <v>85</v>
      </c>
      <c r="U9" s="111" t="s">
        <v>86</v>
      </c>
      <c r="V9" s="111" t="s">
        <v>87</v>
      </c>
      <c r="W9" s="111" t="s">
        <v>88</v>
      </c>
      <c r="X9" s="497"/>
      <c r="Y9" s="497"/>
      <c r="Z9" s="497"/>
      <c r="AA9" s="497"/>
      <c r="AB9" s="497"/>
      <c r="AC9" s="497"/>
      <c r="AD9" s="489"/>
      <c r="AE9" s="496"/>
      <c r="AF9" s="494"/>
      <c r="AG9" s="496"/>
      <c r="AH9" s="496"/>
      <c r="AI9" s="496"/>
      <c r="AJ9" s="496"/>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row>
    <row r="10" spans="1:68" s="324" customFormat="1" ht="110.25" customHeight="1" x14ac:dyDescent="0.25">
      <c r="A10" s="579">
        <v>1</v>
      </c>
      <c r="B10" s="576" t="s">
        <v>320</v>
      </c>
      <c r="C10" s="582" t="s">
        <v>206</v>
      </c>
      <c r="D10" s="582" t="s">
        <v>205</v>
      </c>
      <c r="E10" s="582" t="s">
        <v>364</v>
      </c>
      <c r="F10" s="582" t="s">
        <v>281</v>
      </c>
      <c r="G10" s="585">
        <v>25</v>
      </c>
      <c r="H10" s="588" t="str">
        <f>IF(G10&lt;=0,"",IF(G10&lt;=2,"Muy Baja",IF(G10&lt;=24,"Baja",IF(G10&lt;=500,"Media",IF(G10&lt;=5000,"Alta","Muy Alta")))))</f>
        <v>Media</v>
      </c>
      <c r="I10" s="570">
        <f>IF(H10="","",IF(H10="Muy Baja",0.2,IF(H10="Baja",0.4,IF(H10="Media",0.6,IF(H10="Alta",0.8,IF(H10="Muy Alta",1,))))))</f>
        <v>0.6</v>
      </c>
      <c r="J10" s="564" t="str">
        <f>IF(OR($B$10="Reputacional",$B$10="Económica"),VLOOKUP($L$10,'Tabla Impacto'!$B$4:$G$8,4,0),IF(AND($B$10="Reputacional y Económica"),VLOOKUP($L$10,'Tabla Impacto'!$B$4:$G$8,5,0),((VLOOKUP($L$10,'Tabla Impacto'!$B$4:$G$8,2,0)))))</f>
        <v>El Impacto se evalúo como Moderado. El riesgo afecta la imagen de la entidad con algunos usuarios de relevancia frente al logro de los objetivos con una posible afectación entre 50 y 100 SMLMV.</v>
      </c>
      <c r="K10" s="564" t="str">
        <f>IF(OR($B$10="Reputacional",$B$10="Económica"),VLOOKUP($L$10,'Tabla Impacto'!$B$4:$G$8,4,0),IF(AND($B$10="Reputacional y Económica"),VLOOKUP($L$10,'Tabla Impacto'!$B$4:$G$8,5,0),((VLOOKUP($L$10,'Tabla Impacto'!$B$4:$G$8,2,0)))))</f>
        <v>El Impacto se evalúo como Moderado. El riesgo afecta la imagen de la entidad con algunos usuarios de relevancia frente al logro de los objetivos con una posible afectación entre 50 y 100 SMLMV.</v>
      </c>
      <c r="L10" s="567" t="s">
        <v>114</v>
      </c>
      <c r="M10" s="570">
        <f>VLOOKUP(L10,'Tabla Impacto'!$B$4:$G$8,6,0)</f>
        <v>0.6</v>
      </c>
      <c r="N10" s="573"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375">
        <v>1</v>
      </c>
      <c r="P10" s="409" t="s">
        <v>455</v>
      </c>
      <c r="Q10" s="362" t="str">
        <f t="shared" ref="Q10:Q11" si="0">IF(OR(R10="Preventivo",R10="Detectivo"),"Probabilidad",IF(R10="Correctivo","Impacto",""))</f>
        <v>Probabilidad</v>
      </c>
      <c r="R10" s="363" t="s">
        <v>91</v>
      </c>
      <c r="S10" s="363" t="s">
        <v>92</v>
      </c>
      <c r="T10" s="364" t="str">
        <f t="shared" ref="T10:T11" si="1">IF(AND(R10="Preventivo",S10="Automático"),"50%",IF(AND(R10="Preventivo",S10="Manual"),"40%",IF(AND(R10="Detectivo",S10="Automático"),"40%",IF(AND(R10="Detectivo",S10="Manual"),"30%",IF(AND(R10="Correctivo",S10="Automático"),"35%",IF(AND(R10="Correctivo",S10="Manual"),"25%",""))))))</f>
        <v>40%</v>
      </c>
      <c r="U10" s="363" t="s">
        <v>93</v>
      </c>
      <c r="V10" s="363" t="s">
        <v>94</v>
      </c>
      <c r="W10" s="363" t="s">
        <v>95</v>
      </c>
      <c r="X10" s="373">
        <f>IFERROR(IF(Q10="Probabilidad",(I10-(+I10*T10)),IF(Q10="Impacto",I10,"")),"")</f>
        <v>0.36</v>
      </c>
      <c r="Y10" s="366" t="str">
        <f t="shared" ref="Y10:Y11" si="2">IFERROR(IF(X10="","",IF(X10&lt;=0.2,"Muy Baja",IF(X10&lt;=0.4,"Baja",IF(X10&lt;=0.6,"Media",IF(X10&lt;=0.8,"Alta","Muy Alta"))))),"")</f>
        <v>Baja</v>
      </c>
      <c r="Z10" s="367">
        <f t="shared" ref="Z10:Z11" si="3">+X10</f>
        <v>0.36</v>
      </c>
      <c r="AA10" s="366" t="str">
        <f t="shared" ref="AA10:AA11" si="4">IFERROR(IF(AB10="","",IF(AB10&lt;=0.2,"Leve",IF(AB10&lt;=0.4,"Menor",IF(AB10&lt;=0.6,"Moderado",IF(AB10&lt;=0.8,"Mayor","Catastrófico"))))),"")</f>
        <v>Moderado</v>
      </c>
      <c r="AB10" s="367">
        <f>IFERROR(IF(Q10="Impacto",(M10-(+M10*T10)),IF(Q10="Probabilidad",M10,"")),"")</f>
        <v>0.6</v>
      </c>
      <c r="AC10" s="368" t="str">
        <f t="shared" ref="AC10:AC11" si="5">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369" t="s">
        <v>96</v>
      </c>
      <c r="AE10" s="377" t="str">
        <f>MID(P10,55,400)</f>
        <v xml:space="preserve"> revisa y aprueba las necesidades de segmentación de públicos, lineamientos editoriales, validación de alcance o mecanismos de planificación comunicacional de divulgación de información con los procesos de la Entidad, para definición del Plan de Comunicaciones.</v>
      </c>
      <c r="AF10" s="371" t="s">
        <v>318</v>
      </c>
      <c r="AG10" s="372" t="s">
        <v>362</v>
      </c>
      <c r="AH10" s="372" t="str">
        <f>AG10</f>
        <v>Enero a Febrero de 2026</v>
      </c>
      <c r="AI10" s="374" t="s">
        <v>319</v>
      </c>
      <c r="AJ10" s="378" t="s">
        <v>291</v>
      </c>
    </row>
    <row r="11" spans="1:68" s="329" customFormat="1" ht="151.5" customHeight="1" x14ac:dyDescent="0.3">
      <c r="A11" s="580"/>
      <c r="B11" s="577"/>
      <c r="C11" s="583"/>
      <c r="D11" s="583"/>
      <c r="E11" s="583"/>
      <c r="F11" s="583"/>
      <c r="G11" s="586"/>
      <c r="H11" s="589"/>
      <c r="I11" s="571"/>
      <c r="J11" s="565"/>
      <c r="K11" s="565"/>
      <c r="L11" s="568"/>
      <c r="M11" s="571"/>
      <c r="N11" s="574"/>
      <c r="O11" s="375">
        <v>2</v>
      </c>
      <c r="P11" s="379" t="s">
        <v>360</v>
      </c>
      <c r="Q11" s="362" t="str">
        <f t="shared" si="0"/>
        <v>Probabilidad</v>
      </c>
      <c r="R11" s="363" t="s">
        <v>91</v>
      </c>
      <c r="S11" s="363" t="s">
        <v>92</v>
      </c>
      <c r="T11" s="364" t="str">
        <f t="shared" si="1"/>
        <v>40%</v>
      </c>
      <c r="U11" s="363" t="s">
        <v>93</v>
      </c>
      <c r="V11" s="363" t="s">
        <v>94</v>
      </c>
      <c r="W11" s="363" t="s">
        <v>95</v>
      </c>
      <c r="X11" s="373">
        <f>IFERROR(IF(AND(Q10="Probabilidad",Q11="Probabilidad"),(Z10-(+Z10*T11)),IF(Q11="Probabilidad",(I10-(+I10*T11)),IF(Q11="Impacto",Z10,""))),"")</f>
        <v>0.216</v>
      </c>
      <c r="Y11" s="366" t="str">
        <f t="shared" si="2"/>
        <v>Baja</v>
      </c>
      <c r="Z11" s="367">
        <f t="shared" si="3"/>
        <v>0.216</v>
      </c>
      <c r="AA11" s="366" t="str">
        <f t="shared" si="4"/>
        <v>Moderado</v>
      </c>
      <c r="AB11" s="367">
        <f>IFERROR(IF(AND(Q10="Impacto",Q11="Impacto"),(AB10-(+AB10*T11)),IF(Q11="Impacto",($M$10-(+$M$10*T11)),IF(Q11="Probabilidad",AB10,""))),"")</f>
        <v>0.6</v>
      </c>
      <c r="AC11" s="368" t="str">
        <f t="shared" si="5"/>
        <v>Moderado</v>
      </c>
      <c r="AD11" s="369" t="s">
        <v>96</v>
      </c>
      <c r="AE11" s="377" t="str">
        <f t="shared" ref="AE11:AE12" si="6">MID(P11,55,400)</f>
        <v xml:space="preserve"> verifica que se cumpla el cronograma establecido y que cada publicación cumpla con los lineamientos del manual de identidad visual con el propósito de divulgar la información de la gestión institucional en forma clara y accesible. </v>
      </c>
      <c r="AF11" s="371" t="s">
        <v>266</v>
      </c>
      <c r="AG11" s="371" t="s">
        <v>363</v>
      </c>
      <c r="AH11" s="372" t="str">
        <f t="shared" ref="AH11:AH12" si="7">AG11</f>
        <v>Marzo a Diciembre 2026</v>
      </c>
      <c r="AI11" s="371" t="s">
        <v>269</v>
      </c>
      <c r="AJ11" s="378" t="s">
        <v>268</v>
      </c>
    </row>
    <row r="12" spans="1:68" s="329" customFormat="1" ht="109.35" customHeight="1" x14ac:dyDescent="0.3">
      <c r="A12" s="581"/>
      <c r="B12" s="578"/>
      <c r="C12" s="584"/>
      <c r="D12" s="584"/>
      <c r="E12" s="584"/>
      <c r="F12" s="584"/>
      <c r="G12" s="587"/>
      <c r="H12" s="590"/>
      <c r="I12" s="572"/>
      <c r="J12" s="566"/>
      <c r="K12" s="566"/>
      <c r="L12" s="569"/>
      <c r="M12" s="572"/>
      <c r="N12" s="575"/>
      <c r="O12" s="375">
        <v>3</v>
      </c>
      <c r="P12" s="379" t="s">
        <v>361</v>
      </c>
      <c r="Q12" s="362" t="str">
        <f t="shared" ref="Q12" si="8">IF(OR(R12="Preventivo",R12="Detectivo"),"Probabilidad",IF(R12="Correctivo","Impacto",""))</f>
        <v>Probabilidad</v>
      </c>
      <c r="R12" s="363" t="s">
        <v>97</v>
      </c>
      <c r="S12" s="363" t="s">
        <v>92</v>
      </c>
      <c r="T12" s="364" t="str">
        <f t="shared" ref="T12" si="9">IF(AND(R12="Preventivo",S12="Automático"),"50%",IF(AND(R12="Preventivo",S12="Manual"),"40%",IF(AND(R12="Detectivo",S12="Automático"),"40%",IF(AND(R12="Detectivo",S12="Manual"),"30%",IF(AND(R12="Correctivo",S12="Automático"),"35%",IF(AND(R12="Correctivo",S12="Manual"),"25%",""))))))</f>
        <v>30%</v>
      </c>
      <c r="U12" s="363" t="s">
        <v>104</v>
      </c>
      <c r="V12" s="363" t="s">
        <v>94</v>
      </c>
      <c r="W12" s="363" t="s">
        <v>176</v>
      </c>
      <c r="X12" s="373">
        <f>IFERROR(IF(AND(Q11="Probabilidad",Q12="Probabilidad"),(Z11-(+Z11*T12)),IF(Q12="Probabilidad",(I11-(+I11*T12)),IF(Q12="Impacto",Z11,""))),"")</f>
        <v>0.1512</v>
      </c>
      <c r="Y12" s="366" t="str">
        <f t="shared" ref="Y12" si="10">IFERROR(IF(X12="","",IF(X12&lt;=0.2,"Muy Baja",IF(X12&lt;=0.4,"Baja",IF(X12&lt;=0.6,"Media",IF(X12&lt;=0.8,"Alta","Muy Alta"))))),"")</f>
        <v>Muy Baja</v>
      </c>
      <c r="Z12" s="367">
        <f t="shared" ref="Z12" si="11">+X12</f>
        <v>0.1512</v>
      </c>
      <c r="AA12" s="366" t="str">
        <f t="shared" ref="AA12" si="12">IFERROR(IF(AB12="","",IF(AB12&lt;=0.2,"Leve",IF(AB12&lt;=0.4,"Menor",IF(AB12&lt;=0.6,"Moderado",IF(AB12&lt;=0.8,"Mayor","Catastrófico"))))),"")</f>
        <v>Moderado</v>
      </c>
      <c r="AB12" s="367">
        <f>IFERROR(IF(AND(Q11="Impacto",Q12="Impacto"),(AB11-(+AB11*T12)),IF(Q12="Impacto",($M$10-(+$M$10*T12)),IF(Q12="Probabilidad",AB11,""))),"")</f>
        <v>0.6</v>
      </c>
      <c r="AC12" s="368" t="str">
        <f t="shared" ref="AC12" si="13">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Moderado</v>
      </c>
      <c r="AD12" s="369" t="s">
        <v>96</v>
      </c>
      <c r="AE12" s="377" t="str">
        <f t="shared" si="6"/>
        <v>rifica los materiales a publicar de acuerdo con la estrategia y objetivos de comunicación.</v>
      </c>
      <c r="AF12" s="371" t="s">
        <v>266</v>
      </c>
      <c r="AG12" s="371" t="s">
        <v>363</v>
      </c>
      <c r="AH12" s="372" t="str">
        <f t="shared" si="7"/>
        <v>Marzo a Diciembre 2026</v>
      </c>
      <c r="AI12" s="371" t="s">
        <v>269</v>
      </c>
      <c r="AJ12" s="378" t="s">
        <v>268</v>
      </c>
    </row>
    <row r="13" spans="1:68" x14ac:dyDescent="0.3">
      <c r="B13" s="228" t="s">
        <v>105</v>
      </c>
    </row>
    <row r="14" spans="1:68" x14ac:dyDescent="0.3">
      <c r="A14" s="1"/>
      <c r="B14" s="24" t="s">
        <v>106</v>
      </c>
      <c r="C14" s="1"/>
      <c r="D14" s="1"/>
      <c r="F14" s="1"/>
    </row>
  </sheetData>
  <dataConsolidate/>
  <mergeCells count="58">
    <mergeCell ref="L10:L12"/>
    <mergeCell ref="M10:M12"/>
    <mergeCell ref="N10:N12"/>
    <mergeCell ref="B10:B12"/>
    <mergeCell ref="A10:A12"/>
    <mergeCell ref="F10:F12"/>
    <mergeCell ref="G10:G12"/>
    <mergeCell ref="H10:H12"/>
    <mergeCell ref="I10:I12"/>
    <mergeCell ref="J10:J12"/>
    <mergeCell ref="C10:C12"/>
    <mergeCell ref="D10:D12"/>
    <mergeCell ref="E10:E12"/>
    <mergeCell ref="AE8:AE9"/>
    <mergeCell ref="AJ8:AJ9"/>
    <mergeCell ref="AI8:AI9"/>
    <mergeCell ref="AH8:AH9"/>
    <mergeCell ref="AG8:AG9"/>
    <mergeCell ref="AF8:AF9"/>
    <mergeCell ref="AD8:AD9"/>
    <mergeCell ref="Z8:Z9"/>
    <mergeCell ref="K10:K12"/>
    <mergeCell ref="C5:N5"/>
    <mergeCell ref="C6:N6"/>
    <mergeCell ref="O8:O9"/>
    <mergeCell ref="AC8:AC9"/>
    <mergeCell ref="AB8:AB9"/>
    <mergeCell ref="X8:X9"/>
    <mergeCell ref="P8:P9"/>
    <mergeCell ref="AA8:AA9"/>
    <mergeCell ref="Y8:Y9"/>
    <mergeCell ref="R8:W8"/>
    <mergeCell ref="N8:N9"/>
    <mergeCell ref="J8:J9"/>
    <mergeCell ref="K8:K9"/>
    <mergeCell ref="Q8:Q9"/>
    <mergeCell ref="A8:A9"/>
    <mergeCell ref="F8:F9"/>
    <mergeCell ref="E8:E9"/>
    <mergeCell ref="D8:D9"/>
    <mergeCell ref="C8:C9"/>
    <mergeCell ref="B8:B9"/>
    <mergeCell ref="G8:G9"/>
    <mergeCell ref="H8:H9"/>
    <mergeCell ref="I8:I9"/>
    <mergeCell ref="L8:L9"/>
    <mergeCell ref="M8:M9"/>
    <mergeCell ref="C4:N4"/>
    <mergeCell ref="O4:Q4"/>
    <mergeCell ref="A1:AJ2"/>
    <mergeCell ref="A7:G7"/>
    <mergeCell ref="H7:N7"/>
    <mergeCell ref="O7:W7"/>
    <mergeCell ref="X7:AD7"/>
    <mergeCell ref="AE7:AJ7"/>
    <mergeCell ref="A4:B4"/>
    <mergeCell ref="A5:B5"/>
    <mergeCell ref="A6:B6"/>
  </mergeCells>
  <conditionalFormatting sqref="H10 Y10:Y12">
    <cfRule type="cellIs" dxfId="391" priority="244" operator="equal">
      <formula>"Muy Alta"</formula>
    </cfRule>
    <cfRule type="cellIs" dxfId="390" priority="245" operator="equal">
      <formula>"Alta"</formula>
    </cfRule>
    <cfRule type="cellIs" dxfId="389" priority="246" operator="equal">
      <formula>"Media"</formula>
    </cfRule>
    <cfRule type="cellIs" dxfId="388" priority="247" operator="equal">
      <formula>"Baja"</formula>
    </cfRule>
    <cfRule type="cellIs" dxfId="387" priority="248" operator="equal">
      <formula>"Muy Baja"</formula>
    </cfRule>
  </conditionalFormatting>
  <conditionalFormatting sqref="L10">
    <cfRule type="cellIs" dxfId="386" priority="1" operator="equal">
      <formula>"Catastrófico"</formula>
    </cfRule>
    <cfRule type="cellIs" dxfId="385" priority="2" operator="equal">
      <formula>"Mayor"</formula>
    </cfRule>
    <cfRule type="cellIs" dxfId="384" priority="3" operator="equal">
      <formula>"Moderado"</formula>
    </cfRule>
    <cfRule type="cellIs" dxfId="383" priority="4" operator="equal">
      <formula>"Menor"</formula>
    </cfRule>
    <cfRule type="cellIs" dxfId="382" priority="5" operator="equal">
      <formula>"Leve"</formula>
    </cfRule>
  </conditionalFormatting>
  <conditionalFormatting sqref="M10">
    <cfRule type="containsText" dxfId="381" priority="6" operator="containsText" text="❌">
      <formula>NOT(ISERROR(SEARCH("❌",M10)))</formula>
    </cfRule>
  </conditionalFormatting>
  <conditionalFormatting sqref="N10 AC10:AC12">
    <cfRule type="cellIs" dxfId="380" priority="235" operator="equal">
      <formula>"Extremo"</formula>
    </cfRule>
    <cfRule type="cellIs" dxfId="379" priority="236" operator="equal">
      <formula>"Alto"</formula>
    </cfRule>
    <cfRule type="cellIs" dxfId="378" priority="237" operator="equal">
      <formula>"Moderado"</formula>
    </cfRule>
    <cfRule type="cellIs" dxfId="377" priority="238" operator="equal">
      <formula>"Bajo"</formula>
    </cfRule>
  </conditionalFormatting>
  <conditionalFormatting sqref="AA10:AA12">
    <cfRule type="cellIs" dxfId="376" priority="239" operator="equal">
      <formula>"Catastrófico"</formula>
    </cfRule>
    <cfRule type="cellIs" dxfId="375" priority="240" operator="equal">
      <formula>"Mayor"</formula>
    </cfRule>
    <cfRule type="cellIs" dxfId="374" priority="241" operator="equal">
      <formula>"Moderado"</formula>
    </cfRule>
    <cfRule type="cellIs" dxfId="373" priority="242" operator="equal">
      <formula>"Menor"</formula>
    </cfRule>
    <cfRule type="cellIs" dxfId="372" priority="243" operator="equal">
      <formula>"Leve"</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B4B66010-1B01-4028-BE2A-B0DB63428EE1}">
          <x14:formula1>
            <xm:f>'Tabla Impacto'!$B$3:$B$8</xm:f>
          </x14:formula1>
          <xm:sqref>L10</xm:sqref>
        </x14:dataValidation>
        <x14:dataValidation type="list" allowBlank="1" showInputMessage="1" showErrorMessage="1" xr:uid="{961EEC52-23B3-4543-BA2D-C8A2B5866DA6}">
          <x14:formula1>
            <xm:f>'Tabla Impacto'!$I$3:$I$8</xm:f>
          </x14:formula1>
          <xm:sqref>B10</xm:sqref>
        </x14:dataValidation>
        <x14:dataValidation type="list" allowBlank="1" showInputMessage="1" showErrorMessage="1" xr:uid="{C24F6D94-D28C-4CBB-B715-57C71BF77AA4}">
          <x14:formula1>
            <xm:f>'Tabla Valoración controles'!$D$13:$D$14</xm:f>
          </x14:formula1>
          <xm:sqref>W10:W12</xm:sqref>
        </x14:dataValidation>
        <x14:dataValidation type="list" allowBlank="1" showInputMessage="1" showErrorMessage="1" xr:uid="{F307E476-F519-4AF1-8D31-25EF1E0771D0}">
          <x14:formula1>
            <xm:f>'Tabla Valoración controles'!$D$11:$D$12</xm:f>
          </x14:formula1>
          <xm:sqref>V10:V12</xm:sqref>
        </x14:dataValidation>
        <x14:dataValidation type="list" allowBlank="1" showInputMessage="1" showErrorMessage="1" xr:uid="{0030D150-26BC-4D81-AEDF-C6FD5EF0EB2D}">
          <x14:formula1>
            <xm:f>'Tabla Valoración controles'!$D$9:$D$10</xm:f>
          </x14:formula1>
          <xm:sqref>U10:U12</xm:sqref>
        </x14:dataValidation>
        <x14:dataValidation type="list" allowBlank="1" showInputMessage="1" showErrorMessage="1" xr:uid="{9A3832EF-DEC7-4592-8FB4-F9F54677F1CE}">
          <x14:formula1>
            <xm:f>'Tabla Valoración controles'!$D$7:$D$8</xm:f>
          </x14:formula1>
          <xm:sqref>S10:S12</xm:sqref>
        </x14:dataValidation>
        <x14:dataValidation type="list" allowBlank="1" showInputMessage="1" showErrorMessage="1" xr:uid="{8A3BD7CC-1516-403D-A24C-225199C2C801}">
          <x14:formula1>
            <xm:f>'Tabla Valoración controles'!$D$4:$D$6</xm:f>
          </x14:formula1>
          <xm:sqref>R10:R12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3">
    <tabColor rgb="FF00B050"/>
  </sheetPr>
  <dimension ref="A1:BP18"/>
  <sheetViews>
    <sheetView tabSelected="1" topLeftCell="H6" zoomScale="70" zoomScaleNormal="70" workbookViewId="0">
      <selection activeCell="P11" sqref="P11"/>
    </sheetView>
  </sheetViews>
  <sheetFormatPr baseColWidth="10" defaultColWidth="11.28515625" defaultRowHeight="16.5" x14ac:dyDescent="0.3"/>
  <cols>
    <col min="1" max="1" width="4.140625" style="2" customWidth="1"/>
    <col min="2" max="2" width="16" style="2" customWidth="1"/>
    <col min="3" max="3" width="19.140625" style="2" customWidth="1"/>
    <col min="4" max="4" width="16.140625" style="2" customWidth="1"/>
    <col min="5" max="5" width="32.28515625" style="1" customWidth="1"/>
    <col min="6" max="6" width="20.28515625" style="5" customWidth="1"/>
    <col min="7" max="7" width="17.85546875" style="1" customWidth="1"/>
    <col min="8" max="8" width="16.28515625" style="1" customWidth="1"/>
    <col min="9" max="9" width="6.28515625" style="1" customWidth="1"/>
    <col min="10" max="10" width="27.140625" style="1" customWidth="1"/>
    <col min="11" max="11" width="30.28515625" style="1" customWidth="1"/>
    <col min="12" max="12" width="22" style="1" customWidth="1"/>
    <col min="13" max="13" width="7.140625" style="1" customWidth="1"/>
    <col min="14" max="14" width="18.28515625" style="1" customWidth="1"/>
    <col min="15" max="15" width="5.85546875" style="1" customWidth="1"/>
    <col min="16" max="16" width="53.85546875" style="1" customWidth="1"/>
    <col min="17" max="17" width="15.140625" style="1" bestFit="1" customWidth="1"/>
    <col min="18" max="18" width="6.85546875" style="1" customWidth="1"/>
    <col min="19" max="19" width="5" style="1" customWidth="1"/>
    <col min="20" max="20" width="5.28515625" style="1" customWidth="1"/>
    <col min="21" max="21" width="7.140625" style="1" customWidth="1"/>
    <col min="22" max="22" width="6.85546875" style="1" customWidth="1"/>
    <col min="23" max="23" width="7.28515625" style="1" customWidth="1"/>
    <col min="24" max="25" width="8.85546875" style="1" customWidth="1"/>
    <col min="26" max="26" width="10.28515625" style="1" customWidth="1"/>
    <col min="27" max="28" width="9.140625" style="1" customWidth="1"/>
    <col min="29" max="29" width="8.28515625" style="1" customWidth="1"/>
    <col min="30" max="30" width="7.140625" style="1" customWidth="1"/>
    <col min="31" max="31" width="43.28515625" style="1" customWidth="1"/>
    <col min="32" max="32" width="18.85546875" style="1" customWidth="1"/>
    <col min="33" max="33" width="16.85546875" style="1" customWidth="1"/>
    <col min="34" max="34" width="14.85546875" style="1" customWidth="1"/>
    <col min="35" max="35" width="26.140625" style="1" customWidth="1"/>
    <col min="36" max="36" width="21" style="1" customWidth="1"/>
    <col min="37" max="16384" width="11.28515625" style="1"/>
  </cols>
  <sheetData>
    <row r="1" spans="1:68" ht="16.5" customHeight="1" x14ac:dyDescent="0.3">
      <c r="A1" s="472" t="s">
        <v>60</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4"/>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row>
    <row r="2" spans="1:68" ht="24" customHeight="1" x14ac:dyDescent="0.3">
      <c r="A2" s="475"/>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7"/>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row>
    <row r="3" spans="1:68" x14ac:dyDescent="0.3">
      <c r="A3" s="28"/>
      <c r="B3" s="29"/>
      <c r="C3" s="28"/>
      <c r="D3" s="28"/>
      <c r="E3" s="8"/>
      <c r="F3" s="2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ht="26.65" customHeight="1" x14ac:dyDescent="0.3">
      <c r="A4" s="478" t="s">
        <v>61</v>
      </c>
      <c r="B4" s="479"/>
      <c r="C4" s="480" t="s">
        <v>200</v>
      </c>
      <c r="D4" s="481"/>
      <c r="E4" s="481"/>
      <c r="F4" s="481"/>
      <c r="G4" s="481"/>
      <c r="H4" s="481"/>
      <c r="I4" s="481"/>
      <c r="J4" s="481"/>
      <c r="K4" s="481"/>
      <c r="L4" s="481"/>
      <c r="M4" s="481"/>
      <c r="N4" s="482"/>
      <c r="O4" s="483"/>
      <c r="P4" s="483"/>
      <c r="Q4" s="483"/>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8" ht="30.4" customHeight="1" x14ac:dyDescent="0.3">
      <c r="A5" s="478" t="s">
        <v>62</v>
      </c>
      <c r="B5" s="479"/>
      <c r="C5" s="480" t="s">
        <v>199</v>
      </c>
      <c r="D5" s="481"/>
      <c r="E5" s="481"/>
      <c r="F5" s="481"/>
      <c r="G5" s="481"/>
      <c r="H5" s="481"/>
      <c r="I5" s="481"/>
      <c r="J5" s="481"/>
      <c r="K5" s="481"/>
      <c r="L5" s="481"/>
      <c r="M5" s="481"/>
      <c r="N5" s="482"/>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8" ht="49.9" customHeight="1" x14ac:dyDescent="0.3">
      <c r="A6" s="478" t="s">
        <v>63</v>
      </c>
      <c r="B6" s="479"/>
      <c r="C6" s="484" t="s">
        <v>198</v>
      </c>
      <c r="D6" s="499"/>
      <c r="E6" s="499"/>
      <c r="F6" s="499"/>
      <c r="G6" s="499"/>
      <c r="H6" s="499"/>
      <c r="I6" s="499"/>
      <c r="J6" s="499"/>
      <c r="K6" s="499"/>
      <c r="L6" s="499"/>
      <c r="M6" s="499"/>
      <c r="N6" s="500"/>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8" x14ac:dyDescent="0.3">
      <c r="A7" s="485" t="s">
        <v>64</v>
      </c>
      <c r="B7" s="486"/>
      <c r="C7" s="486"/>
      <c r="D7" s="486"/>
      <c r="E7" s="486"/>
      <c r="F7" s="486"/>
      <c r="G7" s="487"/>
      <c r="H7" s="485" t="s">
        <v>65</v>
      </c>
      <c r="I7" s="486"/>
      <c r="J7" s="486"/>
      <c r="K7" s="486"/>
      <c r="L7" s="486"/>
      <c r="M7" s="486"/>
      <c r="N7" s="487"/>
      <c r="O7" s="485" t="s">
        <v>66</v>
      </c>
      <c r="P7" s="486"/>
      <c r="Q7" s="486"/>
      <c r="R7" s="486"/>
      <c r="S7" s="486"/>
      <c r="T7" s="486"/>
      <c r="U7" s="486"/>
      <c r="V7" s="486"/>
      <c r="W7" s="487"/>
      <c r="X7" s="485" t="s">
        <v>67</v>
      </c>
      <c r="Y7" s="486"/>
      <c r="Z7" s="486"/>
      <c r="AA7" s="486"/>
      <c r="AB7" s="486"/>
      <c r="AC7" s="486"/>
      <c r="AD7" s="487"/>
      <c r="AE7" s="485" t="s">
        <v>68</v>
      </c>
      <c r="AF7" s="486"/>
      <c r="AG7" s="486"/>
      <c r="AH7" s="486"/>
      <c r="AI7" s="486"/>
      <c r="AJ7" s="487"/>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ht="16.5" customHeight="1" x14ac:dyDescent="0.3">
      <c r="A8" s="490" t="s">
        <v>69</v>
      </c>
      <c r="B8" s="492" t="s">
        <v>15</v>
      </c>
      <c r="C8" s="493" t="s">
        <v>17</v>
      </c>
      <c r="D8" s="493" t="s">
        <v>19</v>
      </c>
      <c r="E8" s="495" t="s">
        <v>21</v>
      </c>
      <c r="F8" s="498" t="s">
        <v>23</v>
      </c>
      <c r="G8" s="493" t="s">
        <v>70</v>
      </c>
      <c r="H8" s="501" t="s">
        <v>71</v>
      </c>
      <c r="I8" s="502" t="s">
        <v>72</v>
      </c>
      <c r="J8" s="498" t="s">
        <v>73</v>
      </c>
      <c r="K8" s="498" t="s">
        <v>74</v>
      </c>
      <c r="L8" s="508" t="s">
        <v>75</v>
      </c>
      <c r="M8" s="502" t="s">
        <v>72</v>
      </c>
      <c r="N8" s="493" t="s">
        <v>29</v>
      </c>
      <c r="O8" s="488" t="s">
        <v>76</v>
      </c>
      <c r="P8" s="496" t="s">
        <v>31</v>
      </c>
      <c r="Q8" s="498" t="s">
        <v>33</v>
      </c>
      <c r="R8" s="494" t="s">
        <v>77</v>
      </c>
      <c r="S8" s="494"/>
      <c r="T8" s="494"/>
      <c r="U8" s="494"/>
      <c r="V8" s="494"/>
      <c r="W8" s="494"/>
      <c r="X8" s="497" t="s">
        <v>78</v>
      </c>
      <c r="Y8" s="497" t="s">
        <v>79</v>
      </c>
      <c r="Z8" s="497" t="s">
        <v>72</v>
      </c>
      <c r="AA8" s="497" t="s">
        <v>80</v>
      </c>
      <c r="AB8" s="497" t="s">
        <v>72</v>
      </c>
      <c r="AC8" s="497" t="s">
        <v>81</v>
      </c>
      <c r="AD8" s="488" t="s">
        <v>49</v>
      </c>
      <c r="AE8" s="496" t="s">
        <v>68</v>
      </c>
      <c r="AF8" s="494" t="s">
        <v>82</v>
      </c>
      <c r="AG8" s="496" t="s">
        <v>264</v>
      </c>
      <c r="AH8" s="496" t="s">
        <v>265</v>
      </c>
      <c r="AI8" s="496" t="s">
        <v>262</v>
      </c>
      <c r="AJ8" s="496" t="s">
        <v>263</v>
      </c>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8" s="4" customFormat="1" ht="105.6" customHeight="1" x14ac:dyDescent="0.25">
      <c r="A9" s="491"/>
      <c r="B9" s="492"/>
      <c r="C9" s="494"/>
      <c r="D9" s="494"/>
      <c r="E9" s="492"/>
      <c r="F9" s="493"/>
      <c r="G9" s="494"/>
      <c r="H9" s="493"/>
      <c r="I9" s="503"/>
      <c r="J9" s="493"/>
      <c r="K9" s="493"/>
      <c r="L9" s="503"/>
      <c r="M9" s="503"/>
      <c r="N9" s="494"/>
      <c r="O9" s="489"/>
      <c r="P9" s="496"/>
      <c r="Q9" s="493"/>
      <c r="R9" s="111" t="s">
        <v>83</v>
      </c>
      <c r="S9" s="111" t="s">
        <v>84</v>
      </c>
      <c r="T9" s="111" t="s">
        <v>85</v>
      </c>
      <c r="U9" s="111" t="s">
        <v>86</v>
      </c>
      <c r="V9" s="111" t="s">
        <v>87</v>
      </c>
      <c r="W9" s="111" t="s">
        <v>88</v>
      </c>
      <c r="X9" s="497"/>
      <c r="Y9" s="497"/>
      <c r="Z9" s="497"/>
      <c r="AA9" s="497"/>
      <c r="AB9" s="497"/>
      <c r="AC9" s="497"/>
      <c r="AD9" s="489"/>
      <c r="AE9" s="496"/>
      <c r="AF9" s="494"/>
      <c r="AG9" s="496"/>
      <c r="AH9" s="496"/>
      <c r="AI9" s="496"/>
      <c r="AJ9" s="496"/>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row>
    <row r="10" spans="1:68" s="325" customFormat="1" ht="189" customHeight="1" x14ac:dyDescent="0.25">
      <c r="A10" s="597">
        <v>1</v>
      </c>
      <c r="B10" s="599" t="s">
        <v>89</v>
      </c>
      <c r="C10" s="599"/>
      <c r="D10" s="599"/>
      <c r="E10" s="562" t="s">
        <v>475</v>
      </c>
      <c r="F10" s="599" t="s">
        <v>464</v>
      </c>
      <c r="G10" s="604">
        <v>100</v>
      </c>
      <c r="H10" s="606" t="str">
        <f>IF(G10&lt;=0,"",IF(G10&lt;=2,"Muy Baja",IF(G10&lt;=24,"Baja",IF(G10&lt;=500,"Media",IF(G10&lt;=5000,"Alta","Muy Alta")))))</f>
        <v>Media</v>
      </c>
      <c r="I10" s="593">
        <f>IF(H10="","",IF(H10="Muy Baja",0.2,IF(H10="Baja",0.4,IF(H10="Media",0.6,IF(H10="Alta",0.8,IF(H10="Muy Alta",1,))))))</f>
        <v>0.6</v>
      </c>
      <c r="J10" s="595" t="str">
        <f>IF(OR($B$10="Reputacional",$B$10="Económica"),VLOOKUP($L$10,'Tabla Impacto'!$B$4:$G$8,4,0),IF(AND($B$10="Reputacional y Económica"),VLOOKUP($L$10,'Tabla Impacto'!$B$4:$G$8,5,0),((VLOOKUP($L$10,'Tabla Impacto'!$B$4:$G$8,2,0)))))</f>
        <v>El Impacto se evalúo como Mayor. El riesgo afecta la imagen de de la entidad con efecto publicitario sostenido a nivel de sector administrativo, nivel departamental o municipal.</v>
      </c>
      <c r="K10" s="595" t="str">
        <f>IF(OR($B$10="Reputacional",$B$10="Económica"),VLOOKUP($L$10,'Tabla Impacto'!$B$4:$G$8,4,0),IF(AND($B$10="Reputacional y Económica"),VLOOKUP($L$10,'Tabla Impacto'!$B$4:$G$8,5,0),((VLOOKUP($L$10,'Tabla Impacto'!$B$4:$G$8,2,0)))))</f>
        <v>El Impacto se evalúo como Mayor. El riesgo afecta la imagen de de la entidad con efecto publicitario sostenido a nivel de sector administrativo, nivel departamental o municipal.</v>
      </c>
      <c r="L10" s="602" t="s">
        <v>145</v>
      </c>
      <c r="M10" s="593">
        <f>IF(L10="","",IF(L10="Leve",0.2,IF(L10="Menor",0.4,IF(L10="Moderado",0.6,IF(L10="Mayor",0.8,IF(L10="Catastrófico",1,))))))</f>
        <v>0.8</v>
      </c>
      <c r="N10" s="591"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315">
        <v>1</v>
      </c>
      <c r="P10" s="860" t="s">
        <v>474</v>
      </c>
      <c r="Q10" s="229" t="str">
        <f t="shared" ref="Q10:Q12" si="0">IF(OR(R10="Preventivo",R10="Detectivo"),"Probabilidad",IF(R10="Correctivo","Impacto",""))</f>
        <v>Probabilidad</v>
      </c>
      <c r="R10" s="317" t="s">
        <v>91</v>
      </c>
      <c r="S10" s="317" t="s">
        <v>92</v>
      </c>
      <c r="T10" s="318" t="str">
        <f>IF(AND(R10="Preventivo",S10="Automático"),"50%",IF(AND(R10="Preventivo",S10="Manual"),"40%",IF(AND(R10="Detectivo",S10="Automático"),"40%",IF(AND(R10="Detectivo",S10="Manual"),"30%",IF(AND(R10="Correctivo",S10="Automático"),"35%",IF(AND(R10="Correctivo",S10="Manual"),"25%",""))))))</f>
        <v>40%</v>
      </c>
      <c r="U10" s="317" t="s">
        <v>93</v>
      </c>
      <c r="V10" s="317" t="s">
        <v>94</v>
      </c>
      <c r="W10" s="317" t="s">
        <v>95</v>
      </c>
      <c r="X10" s="338">
        <f>IFERROR(IF(Q10="Probabilidad",(I10-(+I10*T10)),IF(Q10="Impacto",I10,"")),"")</f>
        <v>0.36</v>
      </c>
      <c r="Y10" s="320" t="str">
        <f>IFERROR(IF(X10="","",IF(X10&lt;=0.2,"Muy Baja",IF(X10&lt;=0.4,"Baja",IF(X10&lt;=0.6,"Media",IF(X10&lt;=0.8,"Alta","Muy Alta"))))),"")</f>
        <v>Baja</v>
      </c>
      <c r="Z10" s="146">
        <f>+X10</f>
        <v>0.36</v>
      </c>
      <c r="AA10" s="320" t="str">
        <f>IFERROR(IF(AB10="","",IF(AB10&lt;=0.2,"Leve",IF(AB10&lt;=0.4,"Menor",IF(AB10&lt;=0.6,"Moderado",IF(AB10&lt;=0.8,"Mayor","Catastrófico"))))),"")</f>
        <v>Mayor</v>
      </c>
      <c r="AB10" s="146">
        <f>IFERROR(IF(Q10="Impacto",(M10-(+M10*T10)),IF(Q10="Probabilidad",M10,"")),"")</f>
        <v>0.8</v>
      </c>
      <c r="AC10" s="321"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339" t="s">
        <v>96</v>
      </c>
      <c r="AE10" s="347" t="s">
        <v>465</v>
      </c>
      <c r="AF10" s="348" t="s">
        <v>466</v>
      </c>
      <c r="AG10" s="226" t="s">
        <v>408</v>
      </c>
      <c r="AH10" s="226" t="str">
        <f>AG10</f>
        <v>Febrero a diciembre de 2026</v>
      </c>
      <c r="AI10" s="349" t="s">
        <v>329</v>
      </c>
      <c r="AJ10" s="349" t="s">
        <v>329</v>
      </c>
    </row>
    <row r="11" spans="1:68" s="330" customFormat="1" ht="94.5" x14ac:dyDescent="0.3">
      <c r="A11" s="598"/>
      <c r="B11" s="600"/>
      <c r="C11" s="601"/>
      <c r="D11" s="601"/>
      <c r="E11" s="563"/>
      <c r="F11" s="601"/>
      <c r="G11" s="605"/>
      <c r="H11" s="607"/>
      <c r="I11" s="594"/>
      <c r="J11" s="596"/>
      <c r="K11" s="596"/>
      <c r="L11" s="603"/>
      <c r="M11" s="594"/>
      <c r="N11" s="592"/>
      <c r="O11" s="315">
        <v>2</v>
      </c>
      <c r="P11" s="337" t="s">
        <v>467</v>
      </c>
      <c r="Q11" s="229" t="str">
        <f t="shared" si="0"/>
        <v>Impacto</v>
      </c>
      <c r="R11" s="317" t="s">
        <v>98</v>
      </c>
      <c r="S11" s="317" t="s">
        <v>92</v>
      </c>
      <c r="T11" s="318" t="str">
        <f>IF(AND(R11="Preventivo",S11="Automático"),"50%",IF(AND(R11="Preventivo",S11="Manual"),"40%",IF(AND(R11="Detectivo",S11="Automático"),"40%",IF(AND(R11="Detectivo",S11="Manual"),"30%",IF(AND(R11="Correctivo",S11="Automático"),"35%",IF(AND(R11="Correctivo",S11="Manual"),"25%",""))))))</f>
        <v>25%</v>
      </c>
      <c r="U11" s="317" t="s">
        <v>93</v>
      </c>
      <c r="V11" s="317" t="s">
        <v>94</v>
      </c>
      <c r="W11" s="317" t="s">
        <v>95</v>
      </c>
      <c r="X11" s="338">
        <f>IFERROR(IF(AND(Q10="Probabilidad",Q11="Probabilidad"),(Z10-(+Z10*T11)),IF(Q11="Probabilidad",(I10-(+I10*T11)),IF(Q11="Impacto",Z10,""))),"")</f>
        <v>0.36</v>
      </c>
      <c r="Y11" s="320" t="str">
        <f>IFERROR(IF(X11="","",IF(X11&lt;=0.2,"Muy Baja",IF(X11&lt;=0.4,"Baja",IF(X11&lt;=0.6,"Media",IF(X11&lt;=0.8,"Alta","Muy Alta"))))),"")</f>
        <v>Baja</v>
      </c>
      <c r="Z11" s="146">
        <f>+X11</f>
        <v>0.36</v>
      </c>
      <c r="AA11" s="320" t="str">
        <f>IFERROR(IF(AB11="","",IF(AB11&lt;=0.2,"Leve",IF(AB11&lt;=0.4,"Menor",IF(AB11&lt;=0.6,"Moderado",IF(AB11&lt;=0.8,"Mayor","Catastrófico"))))),"")</f>
        <v>Moderado</v>
      </c>
      <c r="AB11" s="146">
        <f>IFERROR(IF(AND(Q10="Impacto",Q11="Impacto"),(AB10-(+AB10*T11)),IF(Q11="Impacto",($M$10-(+$M$10*T11)),IF(Q11="Probabilidad",AB10,""))),"")</f>
        <v>0.60000000000000009</v>
      </c>
      <c r="AC11" s="321" t="str">
        <f>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339" t="s">
        <v>96</v>
      </c>
      <c r="AE11" s="347" t="s">
        <v>341</v>
      </c>
      <c r="AF11" s="348" t="s">
        <v>466</v>
      </c>
      <c r="AG11" s="226" t="s">
        <v>408</v>
      </c>
      <c r="AH11" s="226" t="str">
        <f t="shared" ref="AH11:AH12" si="1">AG11</f>
        <v>Febrero a diciembre de 2026</v>
      </c>
      <c r="AI11" s="348" t="s">
        <v>331</v>
      </c>
      <c r="AJ11" s="348" t="s">
        <v>331</v>
      </c>
    </row>
    <row r="12" spans="1:68" s="325" customFormat="1" ht="232.15" customHeight="1" x14ac:dyDescent="0.25">
      <c r="A12" s="350">
        <v>1</v>
      </c>
      <c r="B12" s="351" t="s">
        <v>320</v>
      </c>
      <c r="C12" s="351"/>
      <c r="D12" s="351"/>
      <c r="E12" s="351" t="s">
        <v>468</v>
      </c>
      <c r="F12" s="351" t="s">
        <v>101</v>
      </c>
      <c r="G12" s="314">
        <v>480</v>
      </c>
      <c r="H12" s="332" t="str">
        <f>IF(G12&lt;=0,"",IF(G12&lt;=2,"Muy Baja",IF(G12&lt;=24,"Baja",IF(G12&lt;=500,"Media",IF(G12&lt;=5000,"Alta","Muy Alta")))))</f>
        <v>Media</v>
      </c>
      <c r="I12" s="333">
        <f>IF(H12="","",IF(H12="Muy Baja",0.2,IF(H12="Baja",0.4,IF(H12="Media",0.6,IF(H12="Alta",0.8,IF(H12="Muy Alta",1,))))))</f>
        <v>0.6</v>
      </c>
      <c r="J12" s="334" t="str">
        <f>IF(OR($B$12="Reputacional",$B$12="Económica"),VLOOKUP($L$12,'Tabla Impacto'!$B$4:$G$8,4,0),IF(AND($B$12="Reputacional y Económica"),VLOOKUP($L$12,'Tabla Impacto'!$B$4:$G$8,5,0),((VLOOKUP($L$12,'Tabla Impacto'!$B$4:$G$8,2,0)))))</f>
        <v>El Impacto se evalúo como Mayor. El riesgo afecta la imagen de de la entidad con efecto publicitario sostenido a nivel de sector administrativo, nivel departamental o municipal con una posible afectación entre 100 y 500 SMLMV.</v>
      </c>
      <c r="K12" s="334" t="str">
        <f>IF(OR($B$12="Reputacional",$B$12="Económica"),VLOOKUP($L$12,'Tabla Impacto'!$B$4:$G$8,4,0),IF(AND($B$12="Reputacional y Económica"),VLOOKUP($L$12,'Tabla Impacto'!$B$4:$G$8,5,0),((VLOOKUP($L$12,'Tabla Impacto'!$B$4:$G$8,2,0)))))</f>
        <v>El Impacto se evalúo como Mayor. El riesgo afecta la imagen de de la entidad con efecto publicitario sostenido a nivel de sector administrativo, nivel departamental o municipal con una posible afectación entre 100 y 500 SMLMV.</v>
      </c>
      <c r="L12" s="417" t="s">
        <v>145</v>
      </c>
      <c r="M12" s="416">
        <f>IF(L12="","",IF(L12="Leve",0.2,IF(L12="Menor",0.4,IF(L12="Moderado",0.6,IF(L12="Mayor",0.8,IF(L12="Catastrófico",1,))))))</f>
        <v>0.8</v>
      </c>
      <c r="N12" s="415" t="str">
        <f>IF(OR(AND(H12="Muy Baja",L12="Leve"),AND(H12="Muy Baja",L12="Menor"),AND(H12="Baja",L12="Leve")),"Bajo",IF(OR(AND(H12="Muy baja",L12="Moderado"),AND(H12="Baja",L12="Menor"),AND(H12="Baja",L12="Moderado"),AND(H12="Media",L12="Leve"),AND(H12="Media",L12="Menor"),AND(H12="Media",L12="Moderado"),AND(H12="Alta",L12="Leve"),AND(H12="Alta",L12="Menor")),"Moderado",IF(OR(AND(H12="Muy Baja",L12="Mayor"),AND(H12="Baja",L12="Mayor"),AND(H12="Media",L12="Mayor"),AND(H12="Alta",L12="Moderado"),AND(H12="Alta",L12="Mayor"),AND(H12="Muy Alta",L12="Leve"),AND(H12="Muy Alta",L12="Menor"),AND(H12="Muy Alta",L12="Moderado"),AND(H12="Muy Alta",L12="Mayor")),"Alto",IF(OR(AND(H12="Muy Baja",L12="Catastrófico"),AND(H12="Baja",L12="Catastrófico"),AND(H12="Media",L12="Catastrófico"),AND(H12="Alta",L12="Catastrófico"),AND(H12="Muy Alta",L12="Catastrófico")),"Extremo",""))))</f>
        <v>Alto</v>
      </c>
      <c r="O12" s="315">
        <v>1</v>
      </c>
      <c r="P12" s="347" t="s">
        <v>469</v>
      </c>
      <c r="Q12" s="229" t="str">
        <f t="shared" si="0"/>
        <v>Probabilidad</v>
      </c>
      <c r="R12" s="317" t="s">
        <v>91</v>
      </c>
      <c r="S12" s="317" t="s">
        <v>92</v>
      </c>
      <c r="T12" s="318" t="str">
        <f>IF(AND(R12="Preventivo",S12="Automático"),"50%",IF(AND(R12="Preventivo",S12="Manual"),"40%",IF(AND(R12="Detectivo",S12="Automático"),"40%",IF(AND(R12="Detectivo",S12="Manual"),"30%",IF(AND(R12="Correctivo",S12="Automático"),"35%",IF(AND(R12="Correctivo",S12="Manual"),"25%",""))))))</f>
        <v>40%</v>
      </c>
      <c r="U12" s="317" t="s">
        <v>93</v>
      </c>
      <c r="V12" s="317" t="s">
        <v>94</v>
      </c>
      <c r="W12" s="317" t="s">
        <v>95</v>
      </c>
      <c r="X12" s="338">
        <f>IFERROR(IF(Q12="Probabilidad",(I12-(+I12*T12)),IF(Q12="Impacto",I12,"")),"")</f>
        <v>0.36</v>
      </c>
      <c r="Y12" s="320" t="str">
        <f>IFERROR(IF(X12="","",IF(X12&lt;=0.2,"Muy Baja",IF(X12&lt;=0.4,"Baja",IF(X12&lt;=0.6,"Media",IF(X12&lt;=0.8,"Alta","Muy Alta"))))),"")</f>
        <v>Baja</v>
      </c>
      <c r="Z12" s="146">
        <f>+X12</f>
        <v>0.36</v>
      </c>
      <c r="AA12" s="320" t="str">
        <f>IFERROR(IF(AB12="","",IF(AB12&lt;=0.2,"Leve",IF(AB12&lt;=0.4,"Menor",IF(AB12&lt;=0.6,"Moderado",IF(AB12&lt;=0.8,"Mayor","Catastrófico"))))),"")</f>
        <v>Mayor</v>
      </c>
      <c r="AB12" s="146">
        <f>IFERROR(IF(Q12="Impacto",(M12-(+M12*T12)),IF(Q12="Probabilidad",M12,"")),"")</f>
        <v>0.8</v>
      </c>
      <c r="AC12" s="321"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Alto</v>
      </c>
      <c r="AD12" s="339" t="s">
        <v>96</v>
      </c>
      <c r="AE12" s="347" t="s">
        <v>330</v>
      </c>
      <c r="AF12" s="348" t="s">
        <v>466</v>
      </c>
      <c r="AG12" s="226" t="s">
        <v>408</v>
      </c>
      <c r="AH12" s="226" t="str">
        <f t="shared" si="1"/>
        <v>Febrero a diciembre de 2026</v>
      </c>
      <c r="AI12" s="348" t="s">
        <v>470</v>
      </c>
      <c r="AJ12" s="348" t="s">
        <v>470</v>
      </c>
    </row>
    <row r="16" spans="1:68" ht="49.9" customHeight="1" x14ac:dyDescent="0.3">
      <c r="A16" s="6"/>
      <c r="B16" s="504" t="s">
        <v>105</v>
      </c>
      <c r="C16" s="505"/>
      <c r="D16" s="505"/>
      <c r="E16" s="505"/>
      <c r="F16" s="505"/>
      <c r="G16" s="505"/>
      <c r="H16" s="505"/>
      <c r="I16" s="505"/>
      <c r="J16" s="505"/>
      <c r="K16" s="505"/>
      <c r="L16" s="505"/>
      <c r="M16" s="505"/>
      <c r="N16" s="505"/>
      <c r="O16" s="505"/>
      <c r="P16" s="505"/>
      <c r="Q16" s="505"/>
      <c r="R16" s="505"/>
      <c r="S16" s="505"/>
      <c r="T16" s="505"/>
      <c r="U16" s="505"/>
      <c r="V16" s="505"/>
      <c r="W16" s="505"/>
      <c r="X16" s="505"/>
      <c r="Y16" s="505"/>
      <c r="Z16" s="505"/>
      <c r="AA16" s="505"/>
      <c r="AB16" s="505"/>
      <c r="AC16" s="505"/>
      <c r="AD16" s="505"/>
      <c r="AE16" s="505"/>
      <c r="AF16" s="505"/>
      <c r="AG16" s="505"/>
      <c r="AH16" s="505"/>
      <c r="AI16" s="505"/>
      <c r="AJ16" s="506"/>
    </row>
    <row r="18" spans="2:2" s="1" customFormat="1" x14ac:dyDescent="0.3">
      <c r="B18" s="24" t="s">
        <v>106</v>
      </c>
    </row>
  </sheetData>
  <dataConsolidate/>
  <mergeCells count="59">
    <mergeCell ref="L10:L11"/>
    <mergeCell ref="M10:M11"/>
    <mergeCell ref="F10:F11"/>
    <mergeCell ref="G10:G11"/>
    <mergeCell ref="H10:H11"/>
    <mergeCell ref="A10:A11"/>
    <mergeCell ref="B10:B11"/>
    <mergeCell ref="C10:C11"/>
    <mergeCell ref="D10:D11"/>
    <mergeCell ref="E10:E11"/>
    <mergeCell ref="AE8:AE9"/>
    <mergeCell ref="AJ8:AJ9"/>
    <mergeCell ref="AI8:AI9"/>
    <mergeCell ref="AH8:AH9"/>
    <mergeCell ref="AG8:AG9"/>
    <mergeCell ref="AF8:AF9"/>
    <mergeCell ref="O4:Q4"/>
    <mergeCell ref="AD8:AD9"/>
    <mergeCell ref="O8:O9"/>
    <mergeCell ref="B8:B9"/>
    <mergeCell ref="N8:N9"/>
    <mergeCell ref="J8:J9"/>
    <mergeCell ref="K8:K9"/>
    <mergeCell ref="Q8:Q9"/>
    <mergeCell ref="R8:W8"/>
    <mergeCell ref="AA8:AA9"/>
    <mergeCell ref="Y8:Y9"/>
    <mergeCell ref="Z8:Z9"/>
    <mergeCell ref="G8:G9"/>
    <mergeCell ref="H8:H9"/>
    <mergeCell ref="I8:I9"/>
    <mergeCell ref="L8:L9"/>
    <mergeCell ref="A4:B4"/>
    <mergeCell ref="A5:B5"/>
    <mergeCell ref="A6:B6"/>
    <mergeCell ref="A8:A9"/>
    <mergeCell ref="F8:F9"/>
    <mergeCell ref="E8:E9"/>
    <mergeCell ref="D8:D9"/>
    <mergeCell ref="C8:C9"/>
    <mergeCell ref="C5:N5"/>
    <mergeCell ref="C6:N6"/>
    <mergeCell ref="M8:M9"/>
    <mergeCell ref="B16:AJ16"/>
    <mergeCell ref="A1:AJ2"/>
    <mergeCell ref="A7:G7"/>
    <mergeCell ref="H7:N7"/>
    <mergeCell ref="O7:W7"/>
    <mergeCell ref="X7:AD7"/>
    <mergeCell ref="AE7:AJ7"/>
    <mergeCell ref="N10:N11"/>
    <mergeCell ref="I10:I11"/>
    <mergeCell ref="J10:J11"/>
    <mergeCell ref="K10:K11"/>
    <mergeCell ref="C4:N4"/>
    <mergeCell ref="AC8:AC9"/>
    <mergeCell ref="AB8:AB9"/>
    <mergeCell ref="X8:X9"/>
    <mergeCell ref="P8:P9"/>
  </mergeCells>
  <conditionalFormatting sqref="H10">
    <cfRule type="cellIs" dxfId="371" priority="288" operator="equal">
      <formula>"Muy Alta"</formula>
    </cfRule>
    <cfRule type="cellIs" dxfId="370" priority="289" operator="equal">
      <formula>"Alta"</formula>
    </cfRule>
    <cfRule type="cellIs" dxfId="369" priority="290" operator="equal">
      <formula>"Media"</formula>
    </cfRule>
    <cfRule type="cellIs" dxfId="368" priority="291" operator="equal">
      <formula>"Baja"</formula>
    </cfRule>
    <cfRule type="cellIs" dxfId="367" priority="292" operator="equal">
      <formula>"Muy Baja"</formula>
    </cfRule>
  </conditionalFormatting>
  <conditionalFormatting sqref="H12">
    <cfRule type="cellIs" dxfId="366" priority="52" operator="equal">
      <formula>"Muy Alta"</formula>
    </cfRule>
    <cfRule type="cellIs" dxfId="365" priority="53" operator="equal">
      <formula>"Alta"</formula>
    </cfRule>
    <cfRule type="cellIs" dxfId="364" priority="54" operator="equal">
      <formula>"Media"</formula>
    </cfRule>
    <cfRule type="cellIs" dxfId="363" priority="55" operator="equal">
      <formula>"Baja"</formula>
    </cfRule>
    <cfRule type="cellIs" dxfId="362" priority="56" operator="equal">
      <formula>"Muy Baja"</formula>
    </cfRule>
  </conditionalFormatting>
  <conditionalFormatting sqref="L10">
    <cfRule type="cellIs" dxfId="361" priority="57" operator="equal">
      <formula>"Catastrófico"</formula>
    </cfRule>
    <cfRule type="cellIs" dxfId="360" priority="58" operator="equal">
      <formula>"Mayor"</formula>
    </cfRule>
    <cfRule type="cellIs" dxfId="359" priority="59" operator="equal">
      <formula>"Moderado"</formula>
    </cfRule>
    <cfRule type="cellIs" dxfId="358" priority="60" operator="equal">
      <formula>"Menor"</formula>
    </cfRule>
    <cfRule type="cellIs" dxfId="357" priority="61" operator="equal">
      <formula>"Leve"</formula>
    </cfRule>
  </conditionalFormatting>
  <conditionalFormatting sqref="L12">
    <cfRule type="cellIs" dxfId="356" priority="29" operator="equal">
      <formula>"Catastrófico"</formula>
    </cfRule>
    <cfRule type="cellIs" dxfId="355" priority="30" operator="equal">
      <formula>"Mayor"</formula>
    </cfRule>
    <cfRule type="cellIs" dxfId="354" priority="31" operator="equal">
      <formula>"Moderado"</formula>
    </cfRule>
    <cfRule type="cellIs" dxfId="353" priority="32" operator="equal">
      <formula>"Menor"</formula>
    </cfRule>
    <cfRule type="cellIs" dxfId="352" priority="33" operator="equal">
      <formula>"Leve"</formula>
    </cfRule>
  </conditionalFormatting>
  <conditionalFormatting sqref="N10">
    <cfRule type="cellIs" dxfId="351" priority="279" operator="equal">
      <formula>"Extremo"</formula>
    </cfRule>
    <cfRule type="cellIs" dxfId="350" priority="280" operator="equal">
      <formula>"Alto"</formula>
    </cfRule>
    <cfRule type="cellIs" dxfId="349" priority="281" operator="equal">
      <formula>"Moderado"</formula>
    </cfRule>
    <cfRule type="cellIs" dxfId="348" priority="282" operator="equal">
      <formula>"Bajo"</formula>
    </cfRule>
  </conditionalFormatting>
  <conditionalFormatting sqref="N12">
    <cfRule type="cellIs" dxfId="347" priority="48" operator="equal">
      <formula>"Extremo"</formula>
    </cfRule>
    <cfRule type="cellIs" dxfId="346" priority="49" operator="equal">
      <formula>"Alto"</formula>
    </cfRule>
    <cfRule type="cellIs" dxfId="345" priority="50" operator="equal">
      <formula>"Moderado"</formula>
    </cfRule>
    <cfRule type="cellIs" dxfId="344" priority="51" operator="equal">
      <formula>"Bajo"</formula>
    </cfRule>
  </conditionalFormatting>
  <conditionalFormatting sqref="Y10:Y12">
    <cfRule type="cellIs" dxfId="343" priority="43" operator="equal">
      <formula>"Muy Alta"</formula>
    </cfRule>
    <cfRule type="cellIs" dxfId="342" priority="44" operator="equal">
      <formula>"Alta"</formula>
    </cfRule>
    <cfRule type="cellIs" dxfId="341" priority="45" operator="equal">
      <formula>"Media"</formula>
    </cfRule>
    <cfRule type="cellIs" dxfId="340" priority="46" operator="equal">
      <formula>"Baja"</formula>
    </cfRule>
    <cfRule type="cellIs" dxfId="339" priority="47" operator="equal">
      <formula>"Muy Baja"</formula>
    </cfRule>
  </conditionalFormatting>
  <conditionalFormatting sqref="AA10:AA12">
    <cfRule type="cellIs" dxfId="338" priority="38" operator="equal">
      <formula>"Catastrófico"</formula>
    </cfRule>
    <cfRule type="cellIs" dxfId="337" priority="39" operator="equal">
      <formula>"Mayor"</formula>
    </cfRule>
    <cfRule type="cellIs" dxfId="336" priority="40" operator="equal">
      <formula>"Moderado"</formula>
    </cfRule>
    <cfRule type="cellIs" dxfId="335" priority="41" operator="equal">
      <formula>"Menor"</formula>
    </cfRule>
    <cfRule type="cellIs" dxfId="334" priority="42" operator="equal">
      <formula>"Leve"</formula>
    </cfRule>
  </conditionalFormatting>
  <conditionalFormatting sqref="AC10:AC12">
    <cfRule type="cellIs" dxfId="333" priority="34" operator="equal">
      <formula>"Extremo"</formula>
    </cfRule>
    <cfRule type="cellIs" dxfId="332" priority="35" operator="equal">
      <formula>"Alto"</formula>
    </cfRule>
    <cfRule type="cellIs" dxfId="331" priority="36" operator="equal">
      <formula>"Moderado"</formula>
    </cfRule>
    <cfRule type="cellIs" dxfId="330" priority="37"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BB544C02-FF54-4CFA-BBAF-C610CCC2B9A6}">
          <x14:formula1>
            <xm:f>'Tabla Impacto'!$B$3:$B$8</xm:f>
          </x14:formula1>
          <xm:sqref>L10 L12</xm:sqref>
        </x14:dataValidation>
        <x14:dataValidation type="list" allowBlank="1" showInputMessage="1" showErrorMessage="1" xr:uid="{DD6001E0-0C07-4B52-A2EE-DBD8C2E2A147}">
          <x14:formula1>
            <xm:f>'Tabla Impacto'!$I$3:$I$8</xm:f>
          </x14:formula1>
          <xm:sqref>B10:B12</xm:sqref>
        </x14:dataValidation>
        <x14:dataValidation type="list" allowBlank="1" showInputMessage="1" showErrorMessage="1" xr:uid="{6BECDE21-0110-4072-A68A-D3B5B1DA3CD1}">
          <x14:formula1>
            <xm:f>'Tabla Valoración controles'!$D$4:$D$6</xm:f>
          </x14:formula1>
          <xm:sqref>R10:R12</xm:sqref>
        </x14:dataValidation>
        <x14:dataValidation type="list" allowBlank="1" showInputMessage="1" showErrorMessage="1" xr:uid="{9341C47D-F98D-4D2C-8F07-3B2BF97B1CCA}">
          <x14:formula1>
            <xm:f>'Tabla Valoración controles'!$D$7:$D$8</xm:f>
          </x14:formula1>
          <xm:sqref>S10:S12</xm:sqref>
        </x14:dataValidation>
        <x14:dataValidation type="list" allowBlank="1" showInputMessage="1" showErrorMessage="1" xr:uid="{720248F0-EA20-4986-8101-761D5ABF1DEF}">
          <x14:formula1>
            <xm:f>'Tabla Valoración controles'!$D$9:$D$10</xm:f>
          </x14:formula1>
          <xm:sqref>U10:U12</xm:sqref>
        </x14:dataValidation>
        <x14:dataValidation type="list" allowBlank="1" showInputMessage="1" showErrorMessage="1" xr:uid="{39C29C4D-3859-4D91-8916-AB11D6557E47}">
          <x14:formula1>
            <xm:f>'Tabla Valoración controles'!$D$11:$D$12</xm:f>
          </x14:formula1>
          <xm:sqref>V10:V12</xm:sqref>
        </x14:dataValidation>
        <x14:dataValidation type="list" allowBlank="1" showInputMessage="1" showErrorMessage="1" xr:uid="{EBAF902E-2F4B-480F-9334-6D5F2C8DAC1B}">
          <x14:formula1>
            <xm:f>'Tabla Valoración controles'!$D$13:$D$14</xm:f>
          </x14:formula1>
          <xm:sqref>W10:W12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4">
    <tabColor rgb="FF00B050"/>
  </sheetPr>
  <dimension ref="A1:BP16"/>
  <sheetViews>
    <sheetView topLeftCell="O4" zoomScale="60" zoomScaleNormal="60" workbookViewId="0">
      <selection activeCell="P9" sqref="P9"/>
    </sheetView>
  </sheetViews>
  <sheetFormatPr baseColWidth="10" defaultColWidth="11.28515625" defaultRowHeight="14.25" x14ac:dyDescent="0.2"/>
  <cols>
    <col min="1" max="1" width="6.7109375" style="281" customWidth="1"/>
    <col min="2" max="2" width="16.28515625" style="281" customWidth="1"/>
    <col min="3" max="3" width="22.7109375" style="281" customWidth="1"/>
    <col min="4" max="4" width="18.28515625" style="281" customWidth="1"/>
    <col min="5" max="5" width="33.28515625" style="274" customWidth="1"/>
    <col min="6" max="6" width="18.7109375" style="282" customWidth="1"/>
    <col min="7" max="7" width="17.28515625" style="274" customWidth="1"/>
    <col min="8" max="8" width="18.85546875" style="274" customWidth="1"/>
    <col min="9" max="9" width="12.85546875" style="274" customWidth="1"/>
    <col min="10" max="10" width="23.85546875" style="274" customWidth="1"/>
    <col min="11" max="11" width="26" style="274" customWidth="1"/>
    <col min="12" max="12" width="17.28515625" style="274" customWidth="1"/>
    <col min="13" max="13" width="6.140625" style="274" customWidth="1"/>
    <col min="14" max="14" width="16" style="274" customWidth="1"/>
    <col min="15" max="15" width="5.85546875" style="274" customWidth="1"/>
    <col min="16" max="16" width="42.85546875" style="274" customWidth="1"/>
    <col min="17" max="17" width="19.28515625" style="274" customWidth="1"/>
    <col min="18" max="18" width="6.85546875" style="274" customWidth="1"/>
    <col min="19" max="19" width="5" style="274" customWidth="1"/>
    <col min="20" max="20" width="5.28515625" style="274" customWidth="1"/>
    <col min="21" max="21" width="7.140625" style="274" customWidth="1"/>
    <col min="22" max="22" width="6.85546875" style="274" customWidth="1"/>
    <col min="23" max="23" width="7.28515625" style="274" customWidth="1"/>
    <col min="24" max="24" width="9.85546875" style="274" customWidth="1"/>
    <col min="25" max="25" width="8.85546875" style="274" customWidth="1"/>
    <col min="26" max="26" width="10.28515625" style="274" customWidth="1"/>
    <col min="27" max="28" width="9.140625" style="274" customWidth="1"/>
    <col min="29" max="29" width="8.28515625" style="274" customWidth="1"/>
    <col min="30" max="30" width="11.7109375" style="274" customWidth="1"/>
    <col min="31" max="31" width="30" style="274" customWidth="1"/>
    <col min="32" max="32" width="22" style="274" customWidth="1"/>
    <col min="33" max="33" width="19.7109375" style="274" customWidth="1"/>
    <col min="34" max="34" width="21.7109375" style="274" customWidth="1"/>
    <col min="35" max="35" width="29.85546875" style="274" customWidth="1"/>
    <col min="36" max="36" width="30.7109375" style="274" customWidth="1"/>
    <col min="37" max="37" width="30.28515625" style="274" customWidth="1"/>
    <col min="38" max="16384" width="11.28515625" style="274"/>
  </cols>
  <sheetData>
    <row r="1" spans="1:68" ht="59.25" customHeight="1" x14ac:dyDescent="0.2">
      <c r="A1" s="608" t="s">
        <v>60</v>
      </c>
      <c r="B1" s="608"/>
      <c r="C1" s="608"/>
      <c r="D1" s="608"/>
      <c r="E1" s="608"/>
      <c r="F1" s="608"/>
      <c r="G1" s="608"/>
      <c r="H1" s="608"/>
      <c r="I1" s="608"/>
      <c r="J1" s="608"/>
      <c r="K1" s="608"/>
      <c r="L1" s="608"/>
      <c r="M1" s="608"/>
      <c r="N1" s="608"/>
      <c r="O1" s="608"/>
      <c r="P1" s="608"/>
      <c r="Q1" s="608"/>
      <c r="R1" s="608"/>
      <c r="S1" s="608"/>
      <c r="T1" s="608"/>
      <c r="U1" s="608"/>
      <c r="V1" s="608"/>
      <c r="W1" s="608"/>
      <c r="X1" s="608"/>
      <c r="Y1" s="608"/>
      <c r="Z1" s="608"/>
      <c r="AA1" s="608"/>
      <c r="AB1" s="608"/>
      <c r="AC1" s="608"/>
      <c r="AD1" s="608"/>
      <c r="AE1" s="608"/>
      <c r="AF1" s="608"/>
      <c r="AG1" s="608"/>
      <c r="AH1" s="608"/>
      <c r="AI1" s="608"/>
      <c r="AJ1" s="608"/>
      <c r="AK1" s="273"/>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273"/>
      <c r="BM1" s="273"/>
      <c r="BN1" s="273"/>
      <c r="BO1" s="273"/>
      <c r="BP1" s="273"/>
    </row>
    <row r="2" spans="1:68" ht="26.65" customHeight="1" x14ac:dyDescent="0.2">
      <c r="A2" s="609" t="s">
        <v>61</v>
      </c>
      <c r="B2" s="609"/>
      <c r="C2" s="270" t="s">
        <v>201</v>
      </c>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2"/>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row>
    <row r="3" spans="1:68" ht="30.4" customHeight="1" x14ac:dyDescent="0.2">
      <c r="A3" s="610" t="s">
        <v>62</v>
      </c>
      <c r="B3" s="610"/>
      <c r="C3" s="616" t="s">
        <v>202</v>
      </c>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c r="AJ3" s="616"/>
      <c r="AK3" s="27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c r="BJ3" s="273"/>
      <c r="BK3" s="273"/>
      <c r="BL3" s="273"/>
      <c r="BM3" s="273"/>
      <c r="BN3" s="273"/>
      <c r="BO3" s="273"/>
      <c r="BP3" s="273"/>
    </row>
    <row r="4" spans="1:68" ht="49.9" customHeight="1" x14ac:dyDescent="0.2">
      <c r="A4" s="610" t="s">
        <v>63</v>
      </c>
      <c r="B4" s="610"/>
      <c r="C4" s="616" t="s">
        <v>203</v>
      </c>
      <c r="D4" s="616"/>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row>
    <row r="5" spans="1:68" ht="42.75" customHeight="1" x14ac:dyDescent="0.2">
      <c r="A5" s="613" t="s">
        <v>64</v>
      </c>
      <c r="B5" s="613"/>
      <c r="C5" s="613"/>
      <c r="D5" s="613"/>
      <c r="E5" s="613"/>
      <c r="F5" s="613"/>
      <c r="G5" s="613"/>
      <c r="H5" s="611" t="s">
        <v>65</v>
      </c>
      <c r="I5" s="611"/>
      <c r="J5" s="611"/>
      <c r="K5" s="611"/>
      <c r="L5" s="611"/>
      <c r="M5" s="611"/>
      <c r="N5" s="611"/>
      <c r="O5" s="613" t="s">
        <v>66</v>
      </c>
      <c r="P5" s="613"/>
      <c r="Q5" s="613"/>
      <c r="R5" s="613"/>
      <c r="S5" s="613"/>
      <c r="T5" s="613"/>
      <c r="U5" s="613"/>
      <c r="V5" s="613"/>
      <c r="W5" s="613"/>
      <c r="X5" s="611" t="s">
        <v>67</v>
      </c>
      <c r="Y5" s="611"/>
      <c r="Z5" s="611"/>
      <c r="AA5" s="611"/>
      <c r="AB5" s="611"/>
      <c r="AC5" s="611"/>
      <c r="AD5" s="611"/>
      <c r="AE5" s="613" t="s">
        <v>68</v>
      </c>
      <c r="AF5" s="613"/>
      <c r="AG5" s="613"/>
      <c r="AH5" s="613"/>
      <c r="AI5" s="613"/>
      <c r="AJ5" s="613"/>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row>
    <row r="6" spans="1:68" ht="37.5" customHeight="1" x14ac:dyDescent="0.2">
      <c r="A6" s="614" t="s">
        <v>69</v>
      </c>
      <c r="B6" s="613" t="s">
        <v>15</v>
      </c>
      <c r="C6" s="615" t="s">
        <v>17</v>
      </c>
      <c r="D6" s="615" t="s">
        <v>19</v>
      </c>
      <c r="E6" s="613" t="s">
        <v>21</v>
      </c>
      <c r="F6" s="615" t="s">
        <v>23</v>
      </c>
      <c r="G6" s="615" t="s">
        <v>70</v>
      </c>
      <c r="H6" s="615" t="s">
        <v>71</v>
      </c>
      <c r="I6" s="613" t="s">
        <v>72</v>
      </c>
      <c r="J6" s="615" t="s">
        <v>73</v>
      </c>
      <c r="K6" s="615" t="s">
        <v>74</v>
      </c>
      <c r="L6" s="615" t="s">
        <v>75</v>
      </c>
      <c r="M6" s="613" t="s">
        <v>72</v>
      </c>
      <c r="N6" s="615" t="s">
        <v>29</v>
      </c>
      <c r="O6" s="612" t="s">
        <v>76</v>
      </c>
      <c r="P6" s="615" t="s">
        <v>31</v>
      </c>
      <c r="Q6" s="615" t="s">
        <v>33</v>
      </c>
      <c r="R6" s="615" t="s">
        <v>77</v>
      </c>
      <c r="S6" s="615"/>
      <c r="T6" s="615"/>
      <c r="U6" s="615"/>
      <c r="V6" s="615"/>
      <c r="W6" s="615"/>
      <c r="X6" s="612" t="s">
        <v>78</v>
      </c>
      <c r="Y6" s="612" t="s">
        <v>79</v>
      </c>
      <c r="Z6" s="612" t="s">
        <v>72</v>
      </c>
      <c r="AA6" s="612" t="s">
        <v>80</v>
      </c>
      <c r="AB6" s="612" t="s">
        <v>72</v>
      </c>
      <c r="AC6" s="612" t="s">
        <v>81</v>
      </c>
      <c r="AD6" s="612" t="s">
        <v>49</v>
      </c>
      <c r="AE6" s="615" t="s">
        <v>68</v>
      </c>
      <c r="AF6" s="615" t="s">
        <v>82</v>
      </c>
      <c r="AG6" s="615" t="s">
        <v>264</v>
      </c>
      <c r="AH6" s="615" t="s">
        <v>265</v>
      </c>
      <c r="AI6" s="615" t="s">
        <v>262</v>
      </c>
      <c r="AJ6" s="615" t="s">
        <v>263</v>
      </c>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8" s="277" customFormat="1" ht="111.75" customHeight="1" x14ac:dyDescent="0.25">
      <c r="A7" s="614"/>
      <c r="B7" s="613"/>
      <c r="C7" s="615"/>
      <c r="D7" s="615"/>
      <c r="E7" s="613"/>
      <c r="F7" s="615"/>
      <c r="G7" s="615"/>
      <c r="H7" s="615"/>
      <c r="I7" s="613"/>
      <c r="J7" s="615"/>
      <c r="K7" s="615"/>
      <c r="L7" s="613"/>
      <c r="M7" s="613"/>
      <c r="N7" s="615"/>
      <c r="O7" s="612"/>
      <c r="P7" s="615"/>
      <c r="Q7" s="615"/>
      <c r="R7" s="269" t="s">
        <v>83</v>
      </c>
      <c r="S7" s="269" t="s">
        <v>84</v>
      </c>
      <c r="T7" s="269" t="s">
        <v>85</v>
      </c>
      <c r="U7" s="269" t="s">
        <v>86</v>
      </c>
      <c r="V7" s="269" t="s">
        <v>87</v>
      </c>
      <c r="W7" s="269" t="s">
        <v>88</v>
      </c>
      <c r="X7" s="612"/>
      <c r="Y7" s="612"/>
      <c r="Z7" s="612"/>
      <c r="AA7" s="612"/>
      <c r="AB7" s="612"/>
      <c r="AC7" s="612"/>
      <c r="AD7" s="612"/>
      <c r="AE7" s="615"/>
      <c r="AF7" s="615"/>
      <c r="AG7" s="615"/>
      <c r="AH7" s="615"/>
      <c r="AI7" s="615"/>
      <c r="AJ7" s="615"/>
      <c r="AK7" s="275"/>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row>
    <row r="8" spans="1:68" s="279" customFormat="1" ht="108" customHeight="1" x14ac:dyDescent="0.25">
      <c r="A8" s="620">
        <v>1</v>
      </c>
      <c r="B8" s="621" t="s">
        <v>89</v>
      </c>
      <c r="C8" s="621" t="s">
        <v>403</v>
      </c>
      <c r="D8" s="621" t="s">
        <v>204</v>
      </c>
      <c r="E8" s="621" t="s">
        <v>404</v>
      </c>
      <c r="F8" s="621" t="s">
        <v>186</v>
      </c>
      <c r="G8" s="624">
        <f>250+96</f>
        <v>346</v>
      </c>
      <c r="H8" s="625" t="str">
        <f>IF(G8&lt;=0,"",IF(G8&lt;=2,"Muy Baja",IF(G8&lt;=24,"Baja",IF(G8&lt;=500,"Media",IF(G8&lt;=5000,"Alta","Muy Alta")))))</f>
        <v>Media</v>
      </c>
      <c r="I8" s="622">
        <f>IF(H8="","",IF(H8="Muy Baja",0.2,IF(H8="Baja",0.4,IF(H8="Media",0.6,IF(H8="Alta",0.8,IF(H8="Muy Alta",1,))))))</f>
        <v>0.6</v>
      </c>
      <c r="J8" s="626" t="str">
        <f>IF(OR($B$8="Reputacional",$B$8="Económica"),VLOOKUP($L$8,'Tabla Impacto'!$B$4:$G$8,4,0),IF(AND($B$8="Reputacional y Económica"),VLOOKUP($L$8,'Tabla Impacto'!$B$4:$G$8,5,0),((VLOOKUP($L$8,'Tabla Impacto'!$B$4:$G$8,2,0)))))</f>
        <v>El Impacto se evalúo como Mayor. El riesgo afecta la imagen de de la entidad con efecto publicitario sostenido a nivel de sector administrativo, nivel departamental o municipal.</v>
      </c>
      <c r="K8" s="626" t="str">
        <f>IF(OR($B$8="Reputacional",$B$8="Económica"),VLOOKUP($L$8,'Tabla Impacto'!$B$4:$G$8,4,0),IF(AND($B$8="Reputacional y Económica"),VLOOKUP($L$8,'Tabla Impacto'!$B$4:$G$8,5,0),((VLOOKUP($L$8,'Tabla Impacto'!$B$4:$G$8,2,0)))))</f>
        <v>El Impacto se evalúo como Mayor. El riesgo afecta la imagen de de la entidad con efecto publicitario sostenido a nivel de sector administrativo, nivel departamental o municipal.</v>
      </c>
      <c r="L8" s="627" t="s">
        <v>145</v>
      </c>
      <c r="M8" s="622">
        <f>IF(L8="","",IF(L8="Leve",0.2,IF(L8="Menor",0.4,IF(L8="Moderado",0.6,IF(L8="Mayor",0.8,IF(L8="Catastrófico",1,))))))</f>
        <v>0.8</v>
      </c>
      <c r="N8" s="623" t="str">
        <f>IF(OR(AND(H8="Muy Baja",L8="Leve"),AND(H8="Muy Baja",L8="Menor"),AND(H8="Baja",L8="Leve")),"Bajo",IF(OR(AND(H8="Muy baja",L8="Moderado"),AND(H8="Baja",L8="Menor"),AND(H8="Baja",L8="Moderado"),AND(H8="Media",L8="Leve"),AND(H8="Media",L8="Menor"),AND(H8="Media",L8="Moderado"),AND(H8="Alta",L8="Leve"),AND(H8="Alta",L8="Menor")),"Moderado",IF(OR(AND(H8="Muy Baja",L8="Mayor"),AND(H8="Baja",L8="Mayor"),AND(H8="Media",L8="Mayor"),AND(H8="Alta",L8="Moderado"),AND(H8="Alta",L8="Mayor"),AND(H8="Muy Alta",L8="Leve"),AND(H8="Muy Alta",L8="Menor"),AND(H8="Muy Alta",L8="Moderado"),AND(H8="Muy Alta",L8="Mayor")),"Alto",IF(OR(AND(H8="Muy Baja",L8="Catastrófico"),AND(H8="Baja",L8="Catastrófico"),AND(H8="Media",L8="Catastrófico"),AND(H8="Alta",L8="Catastrófico"),AND(H8="Muy Alta",L8="Catastrófico")),"Extremo",""))))</f>
        <v>Alto</v>
      </c>
      <c r="O8" s="240">
        <v>1</v>
      </c>
      <c r="P8" s="256" t="s">
        <v>406</v>
      </c>
      <c r="Q8" s="220" t="str">
        <f t="shared" ref="Q8:Q10" si="0">IF(OR(R8="Preventivo",R8="Detectivo"),"Probabilidad",IF(R8="Correctivo","Impacto",""))</f>
        <v>Impacto</v>
      </c>
      <c r="R8" s="263" t="s">
        <v>98</v>
      </c>
      <c r="S8" s="263" t="s">
        <v>92</v>
      </c>
      <c r="T8" s="264" t="str">
        <f>IF(AND(R8="Preventivo",S8="Automático"),"50%",IF(AND(R8="Preventivo",S8="Manual"),"40%",IF(AND(R8="Detectivo",S8="Automático"),"40%",IF(AND(R8="Detectivo",S8="Manual"),"30%",IF(AND(R8="Correctivo",S8="Automático"),"35%",IF(AND(R8="Correctivo",S8="Manual"),"25%",""))))))</f>
        <v>25%</v>
      </c>
      <c r="U8" s="263" t="s">
        <v>104</v>
      </c>
      <c r="V8" s="263" t="s">
        <v>94</v>
      </c>
      <c r="W8" s="263" t="s">
        <v>95</v>
      </c>
      <c r="X8" s="265">
        <f>IFERROR(IF(Q8="Probabilidad",(I8-(+I8*T8)),IF(Q8="Impacto",I8,"")),"")</f>
        <v>0.6</v>
      </c>
      <c r="Y8" s="266" t="str">
        <f>IFERROR(IF(X8="","",IF(X8&lt;=0.2,"Muy Baja",IF(X8&lt;=0.4,"Baja",IF(X8&lt;=0.6,"Media",IF(X8&lt;=0.8,"Alta","Muy Alta"))))),"")</f>
        <v>Media</v>
      </c>
      <c r="Z8" s="264">
        <f>+X8</f>
        <v>0.6</v>
      </c>
      <c r="AA8" s="266" t="str">
        <f>IFERROR(IF(AB8="","",IF(AB8&lt;=0.2,"Leve",IF(AB8&lt;=0.4,"Menor",IF(AB8&lt;=0.6,"Moderado",IF(AB8&lt;=0.8,"Mayor","Catastrófico"))))),"")</f>
        <v>Moderado</v>
      </c>
      <c r="AB8" s="264">
        <f>IFERROR(IF(Q8="Impacto",(M8-(+M8*T8)),IF(Q8="Probabilidad",M8,"")),"")</f>
        <v>0.60000000000000009</v>
      </c>
      <c r="AC8" s="267" t="str">
        <f>IFERROR(IF(OR(AND(Y8="Muy Baja",AA8="Leve"),AND(Y8="Muy Baja",AA8="Menor"),AND(Y8="Baja",AA8="Leve")),"Bajo",IF(OR(AND(Y8="Muy baja",AA8="Moderado"),AND(Y8="Baja",AA8="Menor"),AND(Y8="Baja",AA8="Moderado"),AND(Y8="Media",AA8="Leve"),AND(Y8="Media",AA8="Menor"),AND(Y8="Media",AA8="Moderado"),AND(Y8="Alta",AA8="Leve"),AND(Y8="Alta",AA8="Menor")),"Moderado",IF(OR(AND(Y8="Muy Baja",AA8="Mayor"),AND(Y8="Baja",AA8="Mayor"),AND(Y8="Media",AA8="Mayor"),AND(Y8="Alta",AA8="Moderado"),AND(Y8="Alta",AA8="Mayor"),AND(Y8="Muy Alta",AA8="Leve"),AND(Y8="Muy Alta",AA8="Menor"),AND(Y8="Muy Alta",AA8="Moderado"),AND(Y8="Muy Alta",AA8="Mayor")),"Alto",IF(OR(AND(Y8="Muy Baja",AA8="Catastrófico"),AND(Y8="Baja",AA8="Catastrófico"),AND(Y8="Media",AA8="Catastrófico"),AND(Y8="Alta",AA8="Catastrófico"),AND(Y8="Muy Alta",AA8="Catastrófico")),"Extremo","")))),"")</f>
        <v>Moderado</v>
      </c>
      <c r="AD8" s="263" t="s">
        <v>96</v>
      </c>
      <c r="AE8" s="232" t="str">
        <f>MID(P8,52,400)</f>
        <v xml:space="preserve"> revisan los criterios de calidad de los recursos digitales establecidos en los Manuales Estructuración y catalogación.</v>
      </c>
      <c r="AF8" s="232" t="s">
        <v>402</v>
      </c>
      <c r="AG8" s="226" t="s">
        <v>408</v>
      </c>
      <c r="AH8" s="226" t="str">
        <f>AG8</f>
        <v>Febrero a diciembre de 2026</v>
      </c>
      <c r="AI8" s="226" t="s">
        <v>425</v>
      </c>
      <c r="AJ8" s="232" t="s">
        <v>268</v>
      </c>
      <c r="AK8" s="278"/>
    </row>
    <row r="9" spans="1:68" ht="133.15" customHeight="1" x14ac:dyDescent="0.2">
      <c r="A9" s="620"/>
      <c r="B9" s="621"/>
      <c r="C9" s="621"/>
      <c r="D9" s="621"/>
      <c r="E9" s="621"/>
      <c r="F9" s="621"/>
      <c r="G9" s="624"/>
      <c r="H9" s="625"/>
      <c r="I9" s="622"/>
      <c r="J9" s="626"/>
      <c r="K9" s="626"/>
      <c r="L9" s="627"/>
      <c r="M9" s="622"/>
      <c r="N9" s="623"/>
      <c r="O9" s="240">
        <v>2</v>
      </c>
      <c r="P9" s="256" t="s">
        <v>407</v>
      </c>
      <c r="Q9" s="220" t="str">
        <f t="shared" si="0"/>
        <v>Probabilidad</v>
      </c>
      <c r="R9" s="263" t="s">
        <v>91</v>
      </c>
      <c r="S9" s="263" t="s">
        <v>103</v>
      </c>
      <c r="T9" s="264" t="str">
        <f>IF(AND(R9="Preventivo",S9="Automático"),"50%",IF(AND(R9="Preventivo",S9="Manual"),"40%",IF(AND(R9="Detectivo",S9="Automático"),"40%",IF(AND(R9="Detectivo",S9="Manual"),"30%",IF(AND(R9="Correctivo",S9="Automático"),"35%",IF(AND(R9="Correctivo",S9="Manual"),"25%",""))))))</f>
        <v>50%</v>
      </c>
      <c r="U9" s="263" t="s">
        <v>93</v>
      </c>
      <c r="V9" s="263" t="s">
        <v>94</v>
      </c>
      <c r="W9" s="263" t="s">
        <v>95</v>
      </c>
      <c r="X9" s="265">
        <f>IFERROR(IF(AND(Q8="Probabilidad",Q9="Probabilidad"),(Z8-(+Z8*T9)),IF(Q9="Probabilidad",(I8-(+I8*T9)),IF(Q9="Impacto",Z8,""))),"")</f>
        <v>0.3</v>
      </c>
      <c r="Y9" s="266" t="str">
        <f>IFERROR(IF(X9="","",IF(X9&lt;=0.2,"Muy Baja",IF(X9&lt;=0.4,"Baja",IF(X9&lt;=0.6,"Media",IF(X9&lt;=0.8,"Alta","Muy Alta"))))),"")</f>
        <v>Baja</v>
      </c>
      <c r="Z9" s="264">
        <f>+X9</f>
        <v>0.3</v>
      </c>
      <c r="AA9" s="266" t="str">
        <f>IFERROR(IF(AB9="","",IF(AB9&lt;=0.2,"Leve",IF(AB9&lt;=0.4,"Menor",IF(AB9&lt;=0.6,"Moderado",IF(AB9&lt;=0.8,"Mayor","Catastrófico"))))),"")</f>
        <v>Moderado</v>
      </c>
      <c r="AB9" s="264">
        <f>IFERROR(IF(AND(Q8="Impacto",Q9="Impacto"),(AB8-(+AB8*T9)),IF(Q9="Impacto",($M$8-(+$M$8*T9)),IF(Q9="Probabilidad",AB8,""))),"")</f>
        <v>0.60000000000000009</v>
      </c>
      <c r="AC9" s="267" t="str">
        <f>IFERROR(IF(OR(AND(Y9="Muy Baja",AA9="Leve"),AND(Y9="Muy Baja",AA9="Menor"),AND(Y9="Baja",AA9="Leve")),"Bajo",IF(OR(AND(Y9="Muy baja",AA9="Moderado"),AND(Y9="Baja",AA9="Menor"),AND(Y9="Baja",AA9="Moderado"),AND(Y9="Media",AA9="Leve"),AND(Y9="Media",AA9="Menor"),AND(Y9="Media",AA9="Moderado"),AND(Y9="Alta",AA9="Leve"),AND(Y9="Alta",AA9="Menor")),"Moderado",IF(OR(AND(Y9="Muy Baja",AA9="Mayor"),AND(Y9="Baja",AA9="Mayor"),AND(Y9="Media",AA9="Mayor"),AND(Y9="Alta",AA9="Moderado"),AND(Y9="Alta",AA9="Mayor"),AND(Y9="Muy Alta",AA9="Leve"),AND(Y9="Muy Alta",AA9="Menor"),AND(Y9="Muy Alta",AA9="Moderado"),AND(Y9="Muy Alta",AA9="Mayor")),"Alto",IF(OR(AND(Y9="Muy Baja",AA9="Catastrófico"),AND(Y9="Baja",AA9="Catastrófico"),AND(Y9="Media",AA9="Catastrófico"),AND(Y9="Alta",AA9="Catastrófico"),AND(Y9="Muy Alta",AA9="Catastrófico")),"Extremo","")))),"")</f>
        <v>Moderado</v>
      </c>
      <c r="AD9" s="263" t="s">
        <v>96</v>
      </c>
      <c r="AE9" s="232" t="str">
        <f>MID(P9,75,400)</f>
        <v xml:space="preserve"> realiza soporte técnico del repositorio institucional de la biblioteca en el cual revisa y verifica que  los metadatos ingresados en el Dspace correspondan con la información real del objeto digital.</v>
      </c>
      <c r="AF9" s="232" t="s">
        <v>402</v>
      </c>
      <c r="AG9" s="226" t="s">
        <v>408</v>
      </c>
      <c r="AH9" s="226" t="str">
        <f t="shared" ref="AH9:AH10" si="1">AG9</f>
        <v>Febrero a diciembre de 2026</v>
      </c>
      <c r="AI9" s="232" t="s">
        <v>295</v>
      </c>
      <c r="AJ9" s="232" t="s">
        <v>268</v>
      </c>
    </row>
    <row r="10" spans="1:68" ht="95.1" customHeight="1" x14ac:dyDescent="0.2">
      <c r="A10" s="620"/>
      <c r="B10" s="621"/>
      <c r="C10" s="621"/>
      <c r="D10" s="621"/>
      <c r="E10" s="621"/>
      <c r="F10" s="621"/>
      <c r="G10" s="624"/>
      <c r="H10" s="625"/>
      <c r="I10" s="622"/>
      <c r="J10" s="626"/>
      <c r="K10" s="626"/>
      <c r="L10" s="627"/>
      <c r="M10" s="622"/>
      <c r="N10" s="623"/>
      <c r="O10" s="240">
        <v>3</v>
      </c>
      <c r="P10" s="256" t="s">
        <v>405</v>
      </c>
      <c r="Q10" s="220" t="str">
        <f t="shared" si="0"/>
        <v>Impacto</v>
      </c>
      <c r="R10" s="263" t="s">
        <v>98</v>
      </c>
      <c r="S10" s="263" t="s">
        <v>103</v>
      </c>
      <c r="T10" s="264" t="str">
        <f>IF(AND(R10="Preventivo",S10="Automático"),"50%",IF(AND(R10="Preventivo",S10="Manual"),"40%",IF(AND(R10="Detectivo",S10="Automático"),"40%",IF(AND(R10="Detectivo",S10="Manual"),"30%",IF(AND(R10="Correctivo",S10="Automático"),"35%",IF(AND(R10="Correctivo",S10="Manual"),"25%",""))))))</f>
        <v>35%</v>
      </c>
      <c r="U10" s="263" t="s">
        <v>93</v>
      </c>
      <c r="V10" s="263" t="s">
        <v>94</v>
      </c>
      <c r="W10" s="263" t="s">
        <v>95</v>
      </c>
      <c r="X10" s="265">
        <f>IFERROR(IF(AND(Q9="Probabilidad",Q10="Probabilidad"),(Z9-(+Z9*T10)),IF(AND(Q9="Impacto",Q10="Probabilidad"),(Z8-(+Z8*T10)),IF(Q10="Impacto",Z9,""))),"")</f>
        <v>0.3</v>
      </c>
      <c r="Y10" s="266" t="str">
        <f>IFERROR(IF(X10="","",IF(X10&lt;=0.2,"Muy Baja",IF(X10&lt;=0.4,"Baja",IF(X10&lt;=0.6,"Media",IF(X10&lt;=0.8,"Alta","Muy Alta"))))),"")</f>
        <v>Baja</v>
      </c>
      <c r="Z10" s="264">
        <f>+X10</f>
        <v>0.3</v>
      </c>
      <c r="AA10" s="266" t="str">
        <f>IFERROR(IF(AB10="","",IF(AB10&lt;=0.2,"Leve",IF(AB10&lt;=0.4,"Menor",IF(AB10&lt;=0.6,"Moderado",IF(AB10&lt;=0.8,"Mayor","Catastrófico"))))),"")</f>
        <v>Menor</v>
      </c>
      <c r="AB10" s="264">
        <f>IFERROR(IF(AND(Q9="Impacto",Q10="Impacto"),(AB9-(+AB9*T10)),IF(AND(Q9="Probabilidad",Q10="Impacto"),(AB8-(+AB8*T10)),IF(Q10="Probabilidad",AB9,""))),"")</f>
        <v>0.39000000000000007</v>
      </c>
      <c r="AC10" s="267"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263" t="s">
        <v>96</v>
      </c>
      <c r="AE10" s="232" t="str">
        <f>MID(P10,47,400)</f>
        <v xml:space="preserve"> verifica que se de respuesta a las solicitudes de talleres recibidas a través del  aplicativo  ORFEO.</v>
      </c>
      <c r="AF10" s="232" t="s">
        <v>402</v>
      </c>
      <c r="AG10" s="226" t="s">
        <v>408</v>
      </c>
      <c r="AH10" s="226" t="str">
        <f t="shared" si="1"/>
        <v>Febrero a diciembre de 2026</v>
      </c>
      <c r="AI10" s="232" t="s">
        <v>424</v>
      </c>
      <c r="AJ10" s="232" t="s">
        <v>268</v>
      </c>
      <c r="AK10" s="278"/>
    </row>
    <row r="14" spans="1:68" ht="49.9" customHeight="1" x14ac:dyDescent="0.2">
      <c r="A14" s="280"/>
      <c r="B14" s="617" t="s">
        <v>423</v>
      </c>
      <c r="C14" s="618"/>
      <c r="D14" s="618"/>
      <c r="E14" s="618"/>
      <c r="F14" s="618"/>
      <c r="G14" s="618"/>
      <c r="H14" s="618"/>
      <c r="I14" s="618"/>
      <c r="J14" s="618"/>
      <c r="K14" s="618"/>
      <c r="L14" s="618"/>
      <c r="M14" s="618"/>
      <c r="N14" s="618"/>
      <c r="O14" s="618"/>
      <c r="P14" s="618"/>
      <c r="Q14" s="618"/>
      <c r="R14" s="618"/>
      <c r="S14" s="618"/>
      <c r="T14" s="618"/>
      <c r="U14" s="618"/>
      <c r="V14" s="618"/>
      <c r="W14" s="618"/>
      <c r="X14" s="618"/>
      <c r="Y14" s="618"/>
      <c r="Z14" s="618"/>
      <c r="AA14" s="618"/>
      <c r="AB14" s="618"/>
      <c r="AC14" s="618"/>
      <c r="AD14" s="618"/>
      <c r="AE14" s="618"/>
      <c r="AF14" s="618"/>
      <c r="AG14" s="618"/>
      <c r="AH14" s="618"/>
      <c r="AI14" s="618"/>
      <c r="AJ14" s="619"/>
    </row>
    <row r="16" spans="1:68" ht="15" x14ac:dyDescent="0.2">
      <c r="A16" s="274"/>
      <c r="B16" s="283" t="s">
        <v>106</v>
      </c>
      <c r="C16" s="274"/>
      <c r="D16" s="274"/>
      <c r="F16" s="274"/>
    </row>
  </sheetData>
  <mergeCells count="57">
    <mergeCell ref="B14:AJ14"/>
    <mergeCell ref="A8:A10"/>
    <mergeCell ref="B8:B10"/>
    <mergeCell ref="C8:C10"/>
    <mergeCell ref="D8:D10"/>
    <mergeCell ref="E8:E10"/>
    <mergeCell ref="F8:F10"/>
    <mergeCell ref="M8:M10"/>
    <mergeCell ref="N8:N10"/>
    <mergeCell ref="G8:G10"/>
    <mergeCell ref="H8:H10"/>
    <mergeCell ref="I8:I10"/>
    <mergeCell ref="J8:J10"/>
    <mergeCell ref="K8:K10"/>
    <mergeCell ref="L8:L10"/>
    <mergeCell ref="C3:AJ3"/>
    <mergeCell ref="AA6:AA7"/>
    <mergeCell ref="AH6:AH7"/>
    <mergeCell ref="AI6:AI7"/>
    <mergeCell ref="AJ6:AJ7"/>
    <mergeCell ref="AD6:AD7"/>
    <mergeCell ref="AB6:AB7"/>
    <mergeCell ref="AC6:AC7"/>
    <mergeCell ref="J6:J7"/>
    <mergeCell ref="K6:K7"/>
    <mergeCell ref="L6:L7"/>
    <mergeCell ref="M6:M7"/>
    <mergeCell ref="N6:N7"/>
    <mergeCell ref="P6:P7"/>
    <mergeCell ref="Q6:Q7"/>
    <mergeCell ref="R6:W6"/>
    <mergeCell ref="Z6:Z7"/>
    <mergeCell ref="AE6:AE7"/>
    <mergeCell ref="AF6:AF7"/>
    <mergeCell ref="A4:B4"/>
    <mergeCell ref="A5:G5"/>
    <mergeCell ref="H5:N5"/>
    <mergeCell ref="O5:W5"/>
    <mergeCell ref="C4:AJ4"/>
    <mergeCell ref="X6:X7"/>
    <mergeCell ref="Y6:Y7"/>
    <mergeCell ref="A1:AJ1"/>
    <mergeCell ref="A2:B2"/>
    <mergeCell ref="A3:B3"/>
    <mergeCell ref="X5:AD5"/>
    <mergeCell ref="O6:O7"/>
    <mergeCell ref="AE5:AJ5"/>
    <mergeCell ref="A6:A7"/>
    <mergeCell ref="B6:B7"/>
    <mergeCell ref="C6:C7"/>
    <mergeCell ref="D6:D7"/>
    <mergeCell ref="E6:E7"/>
    <mergeCell ref="F6:F7"/>
    <mergeCell ref="G6:G7"/>
    <mergeCell ref="H6:H7"/>
    <mergeCell ref="I6:I7"/>
    <mergeCell ref="AG6:AG7"/>
  </mergeCells>
  <conditionalFormatting sqref="H8">
    <cfRule type="cellIs" dxfId="329" priority="24" operator="equal">
      <formula>"Muy Alta"</formula>
    </cfRule>
    <cfRule type="cellIs" dxfId="328" priority="25" operator="equal">
      <formula>"Alta"</formula>
    </cfRule>
    <cfRule type="cellIs" dxfId="327" priority="26" operator="equal">
      <formula>"Media"</formula>
    </cfRule>
    <cfRule type="cellIs" dxfId="326" priority="27" operator="equal">
      <formula>"Baja"</formula>
    </cfRule>
    <cfRule type="cellIs" dxfId="325" priority="28" operator="equal">
      <formula>"Muy Baja"</formula>
    </cfRule>
  </conditionalFormatting>
  <conditionalFormatting sqref="L8">
    <cfRule type="cellIs" dxfId="324" priority="1" operator="equal">
      <formula>"Catastrófico"</formula>
    </cfRule>
    <cfRule type="cellIs" dxfId="323" priority="2" operator="equal">
      <formula>"Mayor"</formula>
    </cfRule>
    <cfRule type="cellIs" dxfId="322" priority="3" operator="equal">
      <formula>"Moderado"</formula>
    </cfRule>
    <cfRule type="cellIs" dxfId="321" priority="4" operator="equal">
      <formula>"Menor"</formula>
    </cfRule>
    <cfRule type="cellIs" dxfId="320" priority="5" operator="equal">
      <formula>"Leve"</formula>
    </cfRule>
  </conditionalFormatting>
  <conditionalFormatting sqref="N8">
    <cfRule type="cellIs" dxfId="319" priority="20" operator="equal">
      <formula>"Extremo"</formula>
    </cfRule>
    <cfRule type="cellIs" dxfId="318" priority="21" operator="equal">
      <formula>"Alto"</formula>
    </cfRule>
    <cfRule type="cellIs" dxfId="317" priority="22" operator="equal">
      <formula>"Moderado"</formula>
    </cfRule>
    <cfRule type="cellIs" dxfId="316" priority="23" operator="equal">
      <formula>"Bajo"</formula>
    </cfRule>
  </conditionalFormatting>
  <conditionalFormatting sqref="Y8:Y10">
    <cfRule type="cellIs" dxfId="315" priority="15" operator="equal">
      <formula>"Muy Alta"</formula>
    </cfRule>
    <cfRule type="cellIs" dxfId="314" priority="16" operator="equal">
      <formula>"Alta"</formula>
    </cfRule>
    <cfRule type="cellIs" dxfId="313" priority="17" operator="equal">
      <formula>"Media"</formula>
    </cfRule>
    <cfRule type="cellIs" dxfId="312" priority="18" operator="equal">
      <formula>"Baja"</formula>
    </cfRule>
    <cfRule type="cellIs" dxfId="311" priority="19" operator="equal">
      <formula>"Muy Baja"</formula>
    </cfRule>
  </conditionalFormatting>
  <conditionalFormatting sqref="AA8:AA10">
    <cfRule type="cellIs" dxfId="310" priority="10" operator="equal">
      <formula>"Catastrófico"</formula>
    </cfRule>
    <cfRule type="cellIs" dxfId="309" priority="11" operator="equal">
      <formula>"Mayor"</formula>
    </cfRule>
    <cfRule type="cellIs" dxfId="308" priority="12" operator="equal">
      <formula>"Moderado"</formula>
    </cfRule>
    <cfRule type="cellIs" dxfId="307" priority="13" operator="equal">
      <formula>"Menor"</formula>
    </cfRule>
    <cfRule type="cellIs" dxfId="306" priority="14" operator="equal">
      <formula>"Leve"</formula>
    </cfRule>
  </conditionalFormatting>
  <conditionalFormatting sqref="AC8:AC10">
    <cfRule type="cellIs" dxfId="305" priority="6" operator="equal">
      <formula>"Extremo"</formula>
    </cfRule>
    <cfRule type="cellIs" dxfId="304" priority="7" operator="equal">
      <formula>"Alto"</formula>
    </cfRule>
    <cfRule type="cellIs" dxfId="303" priority="8" operator="equal">
      <formula>"Moderado"</formula>
    </cfRule>
    <cfRule type="cellIs" dxfId="302" priority="9"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EBAF902E-2F4B-480F-9334-6D5F2C8DAC1B}">
          <x14:formula1>
            <xm:f>'Tabla Valoración controles'!$D$13:$D$14</xm:f>
          </x14:formula1>
          <xm:sqref>W8:W10</xm:sqref>
        </x14:dataValidation>
        <x14:dataValidation type="list" allowBlank="1" showInputMessage="1" showErrorMessage="1" xr:uid="{39C29C4D-3859-4D91-8916-AB11D6557E47}">
          <x14:formula1>
            <xm:f>'Tabla Valoración controles'!$D$11:$D$12</xm:f>
          </x14:formula1>
          <xm:sqref>V8:V10</xm:sqref>
        </x14:dataValidation>
        <x14:dataValidation type="list" allowBlank="1" showInputMessage="1" showErrorMessage="1" xr:uid="{720248F0-EA20-4986-8101-761D5ABF1DEF}">
          <x14:formula1>
            <xm:f>'Tabla Valoración controles'!$D$9:$D$10</xm:f>
          </x14:formula1>
          <xm:sqref>U8:U10</xm:sqref>
        </x14:dataValidation>
        <x14:dataValidation type="list" allowBlank="1" showInputMessage="1" showErrorMessage="1" xr:uid="{9341C47D-F98D-4D2C-8F07-3B2BF97B1CCA}">
          <x14:formula1>
            <xm:f>'Tabla Valoración controles'!$D$7:$D$8</xm:f>
          </x14:formula1>
          <xm:sqref>S8:S10</xm:sqref>
        </x14:dataValidation>
        <x14:dataValidation type="list" allowBlank="1" showInputMessage="1" showErrorMessage="1" xr:uid="{6BECDE21-0110-4072-A68A-D3B5B1DA3CD1}">
          <x14:formula1>
            <xm:f>'Tabla Valoración controles'!$D$4:$D$6</xm:f>
          </x14:formula1>
          <xm:sqref>R8:R10</xm:sqref>
        </x14:dataValidation>
        <x14:dataValidation type="list" allowBlank="1" showInputMessage="1" showErrorMessage="1" xr:uid="{BB544C02-FF54-4CFA-BBAF-C610CCC2B9A6}">
          <x14:formula1>
            <xm:f>'Tabla Impacto'!$B$3:$B$8</xm:f>
          </x14:formula1>
          <xm:sqref>L8</xm:sqref>
        </x14:dataValidation>
        <x14:dataValidation type="list" allowBlank="1" showInputMessage="1" showErrorMessage="1" xr:uid="{DD6001E0-0C07-4B52-A2EE-DBD8C2E2A147}">
          <x14:formula1>
            <xm:f>'Tabla Impacto'!$I$3:$I$8</xm:f>
          </x14:formula1>
          <xm:sqref>B8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5">
    <tabColor rgb="FF00B050"/>
  </sheetPr>
  <dimension ref="A1:BP16"/>
  <sheetViews>
    <sheetView topLeftCell="M7" zoomScale="70" zoomScaleNormal="70" workbookViewId="0">
      <selection activeCell="P13" sqref="P13"/>
    </sheetView>
  </sheetViews>
  <sheetFormatPr baseColWidth="10" defaultColWidth="11.28515625" defaultRowHeight="16.5" x14ac:dyDescent="0.3"/>
  <cols>
    <col min="1" max="1" width="20" style="2" customWidth="1"/>
    <col min="2" max="2" width="15.28515625" style="2" customWidth="1"/>
    <col min="3" max="3" width="18.7109375" style="2" customWidth="1"/>
    <col min="4" max="4" width="17.7109375" style="2" customWidth="1"/>
    <col min="5" max="5" width="27.140625" style="1" customWidth="1"/>
    <col min="6" max="6" width="19.85546875" style="5" customWidth="1"/>
    <col min="7" max="7" width="13.28515625" style="1" customWidth="1"/>
    <col min="8" max="8" width="15.85546875" style="1" customWidth="1"/>
    <col min="9" max="9" width="9" style="1" customWidth="1"/>
    <col min="10" max="11" width="21.85546875" style="1" customWidth="1"/>
    <col min="12" max="12" width="15" style="1" customWidth="1"/>
    <col min="13" max="13" width="8.7109375" style="1" customWidth="1"/>
    <col min="14" max="14" width="25.85546875" style="1" customWidth="1"/>
    <col min="15" max="15" width="5.85546875" style="1" customWidth="1"/>
    <col min="16" max="16" width="47.7109375" style="1" customWidth="1"/>
    <col min="17" max="17" width="17.7109375" style="1" customWidth="1"/>
    <col min="18" max="18" width="6.85546875" style="1" customWidth="1"/>
    <col min="19" max="19" width="5" style="1" customWidth="1"/>
    <col min="20" max="20" width="5.28515625" style="1" customWidth="1"/>
    <col min="21" max="21" width="7.140625" style="1" customWidth="1"/>
    <col min="22" max="22" width="6.85546875" style="1" customWidth="1"/>
    <col min="23" max="23" width="7.28515625" style="1" customWidth="1"/>
    <col min="24" max="24" width="11.140625" style="1" customWidth="1"/>
    <col min="25" max="25" width="8.85546875" style="1" customWidth="1"/>
    <col min="26" max="26" width="10.28515625" style="1" customWidth="1"/>
    <col min="27" max="28" width="9.140625" style="1" customWidth="1"/>
    <col min="29" max="29" width="8.28515625" style="1" customWidth="1"/>
    <col min="30" max="30" width="7.140625" style="1" customWidth="1"/>
    <col min="31" max="31" width="37.7109375" style="1" customWidth="1"/>
    <col min="32" max="32" width="18.85546875" style="1" customWidth="1"/>
    <col min="33" max="33" width="16.85546875" style="1" customWidth="1"/>
    <col min="34" max="34" width="14.85546875" style="1" customWidth="1"/>
    <col min="35" max="35" width="18.28515625" style="1" customWidth="1"/>
    <col min="36" max="36" width="21" style="1" customWidth="1"/>
    <col min="37" max="16384" width="11.28515625" style="1"/>
  </cols>
  <sheetData>
    <row r="1" spans="1:68" ht="16.5" customHeight="1" x14ac:dyDescent="0.3">
      <c r="A1" s="472" t="s">
        <v>60</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4"/>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row>
    <row r="2" spans="1:68" ht="24" customHeight="1" x14ac:dyDescent="0.3">
      <c r="A2" s="475"/>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7"/>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row>
    <row r="3" spans="1:68" x14ac:dyDescent="0.3">
      <c r="A3" s="28"/>
      <c r="B3" s="29"/>
      <c r="C3" s="28"/>
      <c r="D3" s="28"/>
      <c r="E3" s="8"/>
      <c r="F3" s="2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ht="26.65" customHeight="1" x14ac:dyDescent="0.3">
      <c r="A4" s="478" t="s">
        <v>61</v>
      </c>
      <c r="B4" s="479"/>
      <c r="C4" s="480" t="s">
        <v>253</v>
      </c>
      <c r="D4" s="481"/>
      <c r="E4" s="481"/>
      <c r="F4" s="481"/>
      <c r="G4" s="481"/>
      <c r="H4" s="481"/>
      <c r="I4" s="481"/>
      <c r="J4" s="481"/>
      <c r="K4" s="481"/>
      <c r="L4" s="481"/>
      <c r="M4" s="481"/>
      <c r="N4" s="482"/>
      <c r="O4" s="483"/>
      <c r="P4" s="483"/>
      <c r="Q4" s="483"/>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8" ht="36" customHeight="1" x14ac:dyDescent="0.3">
      <c r="A5" s="478" t="s">
        <v>62</v>
      </c>
      <c r="B5" s="479"/>
      <c r="C5" s="484" t="s">
        <v>254</v>
      </c>
      <c r="D5" s="481"/>
      <c r="E5" s="481"/>
      <c r="F5" s="481"/>
      <c r="G5" s="481"/>
      <c r="H5" s="481"/>
      <c r="I5" s="481"/>
      <c r="J5" s="481"/>
      <c r="K5" s="481"/>
      <c r="L5" s="481"/>
      <c r="M5" s="481"/>
      <c r="N5" s="482"/>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8" ht="49.9" customHeight="1" x14ac:dyDescent="0.3">
      <c r="A6" s="478" t="s">
        <v>63</v>
      </c>
      <c r="B6" s="479"/>
      <c r="C6" s="484" t="s">
        <v>255</v>
      </c>
      <c r="D6" s="499"/>
      <c r="E6" s="499"/>
      <c r="F6" s="499"/>
      <c r="G6" s="499"/>
      <c r="H6" s="499"/>
      <c r="I6" s="499"/>
      <c r="J6" s="499"/>
      <c r="K6" s="499"/>
      <c r="L6" s="499"/>
      <c r="M6" s="499"/>
      <c r="N6" s="500"/>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8" x14ac:dyDescent="0.3">
      <c r="A7" s="485" t="s">
        <v>64</v>
      </c>
      <c r="B7" s="486"/>
      <c r="C7" s="486"/>
      <c r="D7" s="486"/>
      <c r="E7" s="486"/>
      <c r="F7" s="486"/>
      <c r="G7" s="487"/>
      <c r="H7" s="485" t="s">
        <v>65</v>
      </c>
      <c r="I7" s="486"/>
      <c r="J7" s="486"/>
      <c r="K7" s="486"/>
      <c r="L7" s="486"/>
      <c r="M7" s="486"/>
      <c r="N7" s="487"/>
      <c r="O7" s="485" t="s">
        <v>66</v>
      </c>
      <c r="P7" s="486"/>
      <c r="Q7" s="486"/>
      <c r="R7" s="486"/>
      <c r="S7" s="486"/>
      <c r="T7" s="486"/>
      <c r="U7" s="486"/>
      <c r="V7" s="486"/>
      <c r="W7" s="487"/>
      <c r="X7" s="485" t="s">
        <v>67</v>
      </c>
      <c r="Y7" s="486"/>
      <c r="Z7" s="486"/>
      <c r="AA7" s="486"/>
      <c r="AB7" s="486"/>
      <c r="AC7" s="486"/>
      <c r="AD7" s="487"/>
      <c r="AE7" s="485" t="s">
        <v>68</v>
      </c>
      <c r="AF7" s="486"/>
      <c r="AG7" s="486"/>
      <c r="AH7" s="486"/>
      <c r="AI7" s="486"/>
      <c r="AJ7" s="487"/>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ht="16.5" customHeight="1" x14ac:dyDescent="0.3">
      <c r="A8" s="490" t="s">
        <v>69</v>
      </c>
      <c r="B8" s="492" t="s">
        <v>15</v>
      </c>
      <c r="C8" s="493" t="s">
        <v>17</v>
      </c>
      <c r="D8" s="493" t="s">
        <v>19</v>
      </c>
      <c r="E8" s="495" t="s">
        <v>21</v>
      </c>
      <c r="F8" s="498" t="s">
        <v>23</v>
      </c>
      <c r="G8" s="493" t="s">
        <v>70</v>
      </c>
      <c r="H8" s="501" t="s">
        <v>71</v>
      </c>
      <c r="I8" s="502" t="s">
        <v>72</v>
      </c>
      <c r="J8" s="498" t="s">
        <v>73</v>
      </c>
      <c r="K8" s="498" t="s">
        <v>74</v>
      </c>
      <c r="L8" s="508" t="s">
        <v>75</v>
      </c>
      <c r="M8" s="502" t="s">
        <v>72</v>
      </c>
      <c r="N8" s="493" t="s">
        <v>29</v>
      </c>
      <c r="O8" s="488" t="s">
        <v>76</v>
      </c>
      <c r="P8" s="496" t="s">
        <v>31</v>
      </c>
      <c r="Q8" s="498" t="s">
        <v>33</v>
      </c>
      <c r="R8" s="494" t="s">
        <v>77</v>
      </c>
      <c r="S8" s="494"/>
      <c r="T8" s="494"/>
      <c r="U8" s="494"/>
      <c r="V8" s="494"/>
      <c r="W8" s="494"/>
      <c r="X8" s="497" t="s">
        <v>78</v>
      </c>
      <c r="Y8" s="497" t="s">
        <v>79</v>
      </c>
      <c r="Z8" s="497" t="s">
        <v>72</v>
      </c>
      <c r="AA8" s="497" t="s">
        <v>80</v>
      </c>
      <c r="AB8" s="497" t="s">
        <v>72</v>
      </c>
      <c r="AC8" s="497" t="s">
        <v>81</v>
      </c>
      <c r="AD8" s="488" t="s">
        <v>49</v>
      </c>
      <c r="AE8" s="496" t="s">
        <v>68</v>
      </c>
      <c r="AF8" s="494" t="s">
        <v>82</v>
      </c>
      <c r="AG8" s="496" t="s">
        <v>264</v>
      </c>
      <c r="AH8" s="496" t="s">
        <v>265</v>
      </c>
      <c r="AI8" s="496" t="s">
        <v>262</v>
      </c>
      <c r="AJ8" s="496" t="s">
        <v>263</v>
      </c>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8" s="4" customFormat="1" ht="94.9" customHeight="1" x14ac:dyDescent="0.25">
      <c r="A9" s="491"/>
      <c r="B9" s="492"/>
      <c r="C9" s="494"/>
      <c r="D9" s="494"/>
      <c r="E9" s="492"/>
      <c r="F9" s="493"/>
      <c r="G9" s="494"/>
      <c r="H9" s="493"/>
      <c r="I9" s="503"/>
      <c r="J9" s="493"/>
      <c r="K9" s="493"/>
      <c r="L9" s="503"/>
      <c r="M9" s="503"/>
      <c r="N9" s="494"/>
      <c r="O9" s="489"/>
      <c r="P9" s="496"/>
      <c r="Q9" s="493"/>
      <c r="R9" s="111" t="s">
        <v>83</v>
      </c>
      <c r="S9" s="111" t="s">
        <v>84</v>
      </c>
      <c r="T9" s="111" t="s">
        <v>85</v>
      </c>
      <c r="U9" s="111" t="s">
        <v>86</v>
      </c>
      <c r="V9" s="111" t="s">
        <v>87</v>
      </c>
      <c r="W9" s="111" t="s">
        <v>88</v>
      </c>
      <c r="X9" s="497"/>
      <c r="Y9" s="497"/>
      <c r="Z9" s="497"/>
      <c r="AA9" s="497"/>
      <c r="AB9" s="497"/>
      <c r="AC9" s="497"/>
      <c r="AD9" s="489"/>
      <c r="AE9" s="496"/>
      <c r="AF9" s="494"/>
      <c r="AG9" s="496"/>
      <c r="AH9" s="496"/>
      <c r="AI9" s="496"/>
      <c r="AJ9" s="496"/>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row>
    <row r="10" spans="1:68" s="324" customFormat="1" ht="94.5" x14ac:dyDescent="0.25">
      <c r="A10" s="579">
        <v>1</v>
      </c>
      <c r="B10" s="523" t="s">
        <v>320</v>
      </c>
      <c r="C10" s="523" t="s">
        <v>256</v>
      </c>
      <c r="D10" s="523" t="s">
        <v>322</v>
      </c>
      <c r="E10" s="523" t="s">
        <v>321</v>
      </c>
      <c r="F10" s="523" t="s">
        <v>299</v>
      </c>
      <c r="G10" s="526">
        <v>180</v>
      </c>
      <c r="H10" s="520" t="str">
        <f>IF(G10&lt;=0,"",IF(G10&lt;=2,"Muy Baja",IF(G10&lt;=24,"Baja",IF(G10&lt;=500,"Media",IF(G10&lt;=5000,"Alta","Muy Alta")))))</f>
        <v>Media</v>
      </c>
      <c r="I10" s="511">
        <f>IF(H10="","",IF(H10="Muy Baja",0.2,IF(H10="Baja",0.4,IF(H10="Media",0.6,IF(H10="Alta",0.8,IF(H10="Muy Alta",1,))))))</f>
        <v>0.6</v>
      </c>
      <c r="J10" s="628" t="str">
        <f>IF(OR($B$10="Reputacional",$B$10="Económica"),VLOOKUP($L$10,'Tabla Impacto'!$B$4:$G$8,4,0),IF(AND($B$10="Reputacional y Económica"),VLOOKUP($L$10,'Tabla Impacto'!$B$4:$G$8,5,0),((VLOOKUP($L$10,'Tabla Impacto'!$B$4:$G$8,2,0)))))</f>
        <v>El Impacto se evalúo como Mayor. El riesgo afecta la imagen de de la entidad con efecto publicitario sostenido a nivel de sector administrativo, nivel departamental o municipal con una posible afectación entre 100 y 500 SMLMV.</v>
      </c>
      <c r="K10" s="628" t="str">
        <f>IF(OR($B$10="Reputacional",$B$10="Económica"),VLOOKUP($L$10,'Tabla Impacto'!$B$4:$G$8,4,0),IF(AND($B$10="Reputacional y Económica"),VLOOKUP($L$10,'Tabla Impacto'!$B$4:$G$8,5,0),((VLOOKUP($L$10,'Tabla Impacto'!$B$4:$G$8,2,0)))))</f>
        <v>El Impacto se evalúo como Mayor. El riesgo afecta la imagen de de la entidad con efecto publicitario sostenido a nivel de sector administrativo, nivel departamental o municipal con una posible afectación entre 100 y 500 SMLMV.</v>
      </c>
      <c r="L10" s="514" t="s">
        <v>145</v>
      </c>
      <c r="M10" s="511">
        <f>IF(L10="","",IF(L10="Leve",0.2,IF(L10="Menor",0.4,IF(L10="Moderado",0.6,IF(L10="Mayor",0.8,IF(L10="Catastrófico",1,))))))</f>
        <v>0.8</v>
      </c>
      <c r="N10" s="509"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375">
        <v>1</v>
      </c>
      <c r="P10" s="323" t="s">
        <v>433</v>
      </c>
      <c r="Q10" s="362" t="str">
        <f t="shared" ref="Q10:Q12" si="0">IF(OR(R10="Preventivo",R10="Detectivo"),"Probabilidad",IF(R10="Correctivo","Impacto",""))</f>
        <v>Probabilidad</v>
      </c>
      <c r="R10" s="363" t="s">
        <v>97</v>
      </c>
      <c r="S10" s="363" t="s">
        <v>92</v>
      </c>
      <c r="T10" s="364" t="str">
        <f t="shared" ref="T10:T13" si="1">IF(AND(R10="Preventivo",S10="Automático"),"50%",IF(AND(R10="Preventivo",S10="Manual"),"40%",IF(AND(R10="Detectivo",S10="Automático"),"40%",IF(AND(R10="Detectivo",S10="Manual"),"30%",IF(AND(R10="Correctivo",S10="Automático"),"35%",IF(AND(R10="Correctivo",S10="Manual"),"25%",""))))))</f>
        <v>30%</v>
      </c>
      <c r="U10" s="363" t="s">
        <v>93</v>
      </c>
      <c r="V10" s="363" t="s">
        <v>94</v>
      </c>
      <c r="W10" s="363" t="s">
        <v>95</v>
      </c>
      <c r="X10" s="373">
        <f>IFERROR(IF(Q10="Probabilidad",(I10-(+I10*T10)),IF(Q10="Impacto",I10,"")),"")</f>
        <v>0.42</v>
      </c>
      <c r="Y10" s="366" t="str">
        <f>IFERROR(IF(X10="","",IF(X10&lt;=0.2,"Muy Baja",IF(X10&lt;=0.4,"Baja",IF(X10&lt;=0.6,"Media",IF(X10&lt;=0.8,"Alta","Muy Alta"))))),"")</f>
        <v>Media</v>
      </c>
      <c r="Z10" s="367">
        <f t="shared" ref="Z10:Z12" si="2">+X10</f>
        <v>0.42</v>
      </c>
      <c r="AA10" s="366" t="str">
        <f>IFERROR(IF(AB10="","",IF(AB10&lt;=0.2,"Leve",IF(AB10&lt;=0.4,"Menor",IF(AB10&lt;=0.6,"Moderado",IF(AB10&lt;=0.8,"Mayor","Catastrófico"))))),"")</f>
        <v>Mayor</v>
      </c>
      <c r="AB10" s="367">
        <f>IFERROR(IF(Q10="Impacto",(M10-(+M10*T10)),IF(Q10="Probabilidad",M10,"")),"")</f>
        <v>0.8</v>
      </c>
      <c r="AC10" s="368" t="str">
        <f t="shared" ref="AC10:AC1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369" t="s">
        <v>96</v>
      </c>
      <c r="AE10" s="371" t="str">
        <f>MID(P10,75,400)</f>
        <v>verifica la calidad del material especializado producido en la imprenta, dando cumplimiento a los requisitos solicitados por el cliente de acuerdo a cada orden de producción.</v>
      </c>
      <c r="AF10" s="371" t="s">
        <v>257</v>
      </c>
      <c r="AG10" s="371" t="s">
        <v>450</v>
      </c>
      <c r="AH10" s="371" t="str">
        <f>AG10</f>
        <v>Enero a Diciembre 2026</v>
      </c>
      <c r="AI10" s="374" t="s">
        <v>300</v>
      </c>
      <c r="AJ10" s="371" t="s">
        <v>289</v>
      </c>
    </row>
    <row r="11" spans="1:68" s="329" customFormat="1" ht="94.5" x14ac:dyDescent="0.3">
      <c r="A11" s="580"/>
      <c r="B11" s="524"/>
      <c r="C11" s="524"/>
      <c r="D11" s="524"/>
      <c r="E11" s="524"/>
      <c r="F11" s="524"/>
      <c r="G11" s="527"/>
      <c r="H11" s="521"/>
      <c r="I11" s="512"/>
      <c r="J11" s="629"/>
      <c r="K11" s="629"/>
      <c r="L11" s="515"/>
      <c r="M11" s="512"/>
      <c r="N11" s="510"/>
      <c r="O11" s="375">
        <v>2</v>
      </c>
      <c r="P11" s="376" t="s">
        <v>305</v>
      </c>
      <c r="Q11" s="362" t="str">
        <f t="shared" si="0"/>
        <v>Impacto</v>
      </c>
      <c r="R11" s="363" t="s">
        <v>98</v>
      </c>
      <c r="S11" s="363" t="s">
        <v>92</v>
      </c>
      <c r="T11" s="364" t="str">
        <f t="shared" si="1"/>
        <v>25%</v>
      </c>
      <c r="U11" s="363" t="s">
        <v>93</v>
      </c>
      <c r="V11" s="363" t="s">
        <v>94</v>
      </c>
      <c r="W11" s="363" t="s">
        <v>95</v>
      </c>
      <c r="X11" s="373">
        <f>IFERROR(IF(AND(Q10="Probabilidad",Q11="Probabilidad"),(Z10-(+Z10*T11)),IF(Q11="Probabilidad",(I10-(+I10*T11)),IF(Q11="Impacto",Z10,""))),"")</f>
        <v>0.42</v>
      </c>
      <c r="Y11" s="366" t="str">
        <f t="shared" ref="Y11:Y12" si="4">IFERROR(IF(X11="","",IF(X11&lt;=0.2,"Muy Baja",IF(X11&lt;=0.4,"Baja",IF(X11&lt;=0.6,"Media",IF(X11&lt;=0.8,"Alta","Muy Alta"))))),"")</f>
        <v>Media</v>
      </c>
      <c r="Z11" s="367">
        <f t="shared" si="2"/>
        <v>0.42</v>
      </c>
      <c r="AA11" s="366" t="str">
        <f t="shared" ref="AA11:AA12" si="5">IFERROR(IF(AB11="","",IF(AB11&lt;=0.2,"Leve",IF(AB11&lt;=0.4,"Menor",IF(AB11&lt;=0.6,"Moderado",IF(AB11&lt;=0.8,"Mayor","Catastrófico"))))),"")</f>
        <v>Moderado</v>
      </c>
      <c r="AB11" s="367">
        <f>IFERROR(IF(AND(Q10="Impacto",Q11="Impacto"),(AB10-(+AB10*T11)),IF(Q11="Impacto",($M$10-(+$M$10*T11)),IF(Q11="Probabilidad",AB10,""))),"")</f>
        <v>0.60000000000000009</v>
      </c>
      <c r="AC11" s="368" t="str">
        <f t="shared" si="3"/>
        <v>Moderado</v>
      </c>
      <c r="AD11" s="369" t="s">
        <v>96</v>
      </c>
      <c r="AE11" s="371" t="str">
        <f>MID(P11,52,400)</f>
        <v xml:space="preserve"> válida las especificaciones técnicas estipuladas en la cotización y orden de producción.</v>
      </c>
      <c r="AF11" s="371" t="s">
        <v>257</v>
      </c>
      <c r="AG11" s="371" t="s">
        <v>450</v>
      </c>
      <c r="AH11" s="371" t="str">
        <f t="shared" ref="AH11:AH13" si="6">AG11</f>
        <v>Enero a Diciembre 2026</v>
      </c>
      <c r="AI11" s="374" t="s">
        <v>300</v>
      </c>
      <c r="AJ11" s="378" t="s">
        <v>268</v>
      </c>
    </row>
    <row r="12" spans="1:68" s="329" customFormat="1" ht="94.5" x14ac:dyDescent="0.3">
      <c r="A12" s="580"/>
      <c r="B12" s="525"/>
      <c r="C12" s="525"/>
      <c r="D12" s="525"/>
      <c r="E12" s="525"/>
      <c r="F12" s="525"/>
      <c r="G12" s="528"/>
      <c r="H12" s="522"/>
      <c r="I12" s="513"/>
      <c r="J12" s="630"/>
      <c r="K12" s="630"/>
      <c r="L12" s="516"/>
      <c r="M12" s="512"/>
      <c r="N12" s="510"/>
      <c r="O12" s="375">
        <v>3</v>
      </c>
      <c r="P12" s="323" t="s">
        <v>434</v>
      </c>
      <c r="Q12" s="362" t="str">
        <f t="shared" si="0"/>
        <v>Probabilidad</v>
      </c>
      <c r="R12" s="363" t="s">
        <v>91</v>
      </c>
      <c r="S12" s="363" t="s">
        <v>92</v>
      </c>
      <c r="T12" s="364" t="str">
        <f t="shared" si="1"/>
        <v>40%</v>
      </c>
      <c r="U12" s="363" t="s">
        <v>93</v>
      </c>
      <c r="V12" s="363" t="s">
        <v>94</v>
      </c>
      <c r="W12" s="363" t="s">
        <v>95</v>
      </c>
      <c r="X12" s="373">
        <f>IFERROR(IF(AND(Q11="Probabilidad",Q12="Probabilidad"),(Z11-(+Z11*T12)),IF(AND(Q11="Impacto",Q12="Probabilidad"),(Z10-(+Z10*T12)),IF(Q12="Impacto",Z11,""))),"")</f>
        <v>0.252</v>
      </c>
      <c r="Y12" s="366" t="str">
        <f t="shared" si="4"/>
        <v>Baja</v>
      </c>
      <c r="Z12" s="367">
        <f t="shared" si="2"/>
        <v>0.252</v>
      </c>
      <c r="AA12" s="366" t="str">
        <f t="shared" si="5"/>
        <v>Moderado</v>
      </c>
      <c r="AB12" s="367">
        <f>IFERROR(IF(AND(Q11="Impacto",Q12="Impacto"),(AB11-(+AB11*T12)),IF(AND(Q11="Probabilidad",Q12="Impacto"),(AB10-(+AB10*T12)),IF(Q12="Probabilidad",AB11,""))),"")</f>
        <v>0.60000000000000009</v>
      </c>
      <c r="AC12" s="368"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Moderado</v>
      </c>
      <c r="AD12" s="369" t="s">
        <v>96</v>
      </c>
      <c r="AE12" s="371" t="str">
        <f>MID(P12,74,400)</f>
        <v>revisa y actualiza las hojas de vida de las máquinas de acuerdo a lo establecido en el Plan de Mantenimiento.</v>
      </c>
      <c r="AF12" s="371" t="s">
        <v>257</v>
      </c>
      <c r="AG12" s="371" t="s">
        <v>450</v>
      </c>
      <c r="AH12" s="371" t="str">
        <f t="shared" si="6"/>
        <v>Enero a Diciembre 2026</v>
      </c>
      <c r="AI12" s="371" t="s">
        <v>296</v>
      </c>
      <c r="AJ12" s="378" t="s">
        <v>268</v>
      </c>
    </row>
    <row r="13" spans="1:68" s="329" customFormat="1" ht="210" x14ac:dyDescent="0.3">
      <c r="A13" s="380">
        <v>2</v>
      </c>
      <c r="B13" s="381" t="s">
        <v>89</v>
      </c>
      <c r="C13" s="382" t="s">
        <v>258</v>
      </c>
      <c r="D13" s="382" t="s">
        <v>259</v>
      </c>
      <c r="E13" s="382" t="s">
        <v>260</v>
      </c>
      <c r="F13" s="382" t="s">
        <v>101</v>
      </c>
      <c r="G13" s="383">
        <f>260</f>
        <v>260</v>
      </c>
      <c r="H13" s="384" t="str">
        <f>IF(G13&lt;=0,"",IF(G13&lt;=2,"Muy Baja",IF(G13&lt;=24,"Baja",IF(G13&lt;=500,"Media",IF(G13&lt;=5000,"Alta","Muy Alta")))))</f>
        <v>Media</v>
      </c>
      <c r="I13" s="385">
        <f>IF(H13="","",IF(H13="Muy Baja",0.2,IF(H13="Baja",0.4,IF(H13="Media",0.6,IF(H13="Alta",0.8,IF(H13="Muy Alta",1,))))))</f>
        <v>0.6</v>
      </c>
      <c r="J13" s="386" t="str">
        <f>IF(OR($B$10="Reputacional",$B$10="Económica"),VLOOKUP($L$10,'Tabla Impacto'!$B$4:$G$8,4,0),IF(AND($B$10="Reputacional y Económica"),VLOOKUP($L$10,'Tabla Impacto'!$B$4:$G$8,5,0),((VLOOKUP($L$10,'Tabla Impacto'!$B$4:$G$8,2,0)))))</f>
        <v>El Impacto se evalúo como Mayor. El riesgo afecta la imagen de de la entidad con efecto publicitario sostenido a nivel de sector administrativo, nivel departamental o municipal con una posible afectación entre 100 y 500 SMLMV.</v>
      </c>
      <c r="K13" s="386" t="str">
        <f>IF(OR($B$10="Reputacional",$B$10="Económica"),VLOOKUP($L$10,'Tabla Impacto'!$B$4:$G$8,4,0),IF(AND($B$10="Reputacional y Económica"),VLOOKUP($L$10,'Tabla Impacto'!$B$4:$G$8,5,0),((VLOOKUP($L$10,'Tabla Impacto'!$B$4:$G$8,2,0)))))</f>
        <v>El Impacto se evalúo como Mayor. El riesgo afecta la imagen de de la entidad con efecto publicitario sostenido a nivel de sector administrativo, nivel departamental o municipal con una posible afectación entre 100 y 500 SMLMV.</v>
      </c>
      <c r="L13" s="387" t="s">
        <v>114</v>
      </c>
      <c r="M13" s="385">
        <f>IF(L13="","",IF(L13="Leve",0.2,IF(L13="Menor",0.4,IF(L13="Moderado",0.6,IF(L13="Mayor",0.8,IF(L13="Catastrófico",1,))))))</f>
        <v>0.6</v>
      </c>
      <c r="N13" s="388" t="str">
        <f>IF(OR(AND(H13="Muy Baja",L13="Leve"),AND(H13="Muy Baja",L13="Menor"),AND(H13="Baja",L13="Leve")),"Bajo",IF(OR(AND(H13="Muy baja",L13="Moderado"),AND(H13="Baja",L13="Menor"),AND(H13="Baja",L13="Moderado"),AND(H13="Media",L13="Leve"),AND(H13="Media",L13="Menor"),AND(H13="Media",L13="Moderado"),AND(H13="Alta",L13="Leve"),AND(H13="Alta",L13="Menor")),"Moderado",IF(OR(AND(H13="Muy Baja",L13="Mayor"),AND(H13="Baja",L13="Mayor"),AND(H13="Media",L13="Mayor"),AND(H13="Alta",L13="Moderado"),AND(H13="Alta",L13="Mayor"),AND(H13="Muy Alta",L13="Leve"),AND(H13="Muy Alta",L13="Menor"),AND(H13="Muy Alta",L13="Moderado"),AND(H13="Muy Alta",L13="Mayor")),"Alto",IF(OR(AND(H13="Muy Baja",L13="Catastrófico"),AND(H13="Baja",L13="Catastrófico"),AND(H13="Media",L13="Catastrófico"),AND(H13="Alta",L13="Catastrófico"),AND(H13="Muy Alta",L13="Catastrófico")),"Extremo",""))))</f>
        <v>Moderado</v>
      </c>
      <c r="O13" s="375">
        <v>1</v>
      </c>
      <c r="P13" s="323" t="s">
        <v>435</v>
      </c>
      <c r="Q13" s="362" t="str">
        <f t="shared" ref="Q13" si="7">IF(OR(R13="Preventivo",R13="Detectivo"),"Probabilidad",IF(R13="Correctivo","Impacto",""))</f>
        <v>Probabilidad</v>
      </c>
      <c r="R13" s="363" t="s">
        <v>91</v>
      </c>
      <c r="S13" s="363" t="s">
        <v>92</v>
      </c>
      <c r="T13" s="364" t="str">
        <f t="shared" si="1"/>
        <v>40%</v>
      </c>
      <c r="U13" s="363" t="s">
        <v>93</v>
      </c>
      <c r="V13" s="363" t="s">
        <v>94</v>
      </c>
      <c r="W13" s="363" t="s">
        <v>95</v>
      </c>
      <c r="X13" s="373">
        <f>IFERROR(IF(Q13="Probabilidad",(I13-(+I13*T13)),IF(Q13="Impacto",I13,"")),"")</f>
        <v>0.36</v>
      </c>
      <c r="Y13" s="366" t="str">
        <f>IFERROR(IF(X13="","",IF(X13&lt;=0.2,"Muy Baja",IF(X13&lt;=0.4,"Baja",IF(X13&lt;=0.6,"Media",IF(X13&lt;=0.8,"Alta","Muy Alta"))))),"")</f>
        <v>Baja</v>
      </c>
      <c r="Z13" s="367">
        <f>+X13</f>
        <v>0.36</v>
      </c>
      <c r="AA13" s="366" t="str">
        <f>IFERROR(IF(AB13="","",IF(AB13&lt;=0.2,"Leve",IF(AB13&lt;=0.4,"Menor",IF(AB13&lt;=0.6,"Moderado",IF(AB13&lt;=0.8,"Mayor","Catastrófico"))))),"")</f>
        <v>Moderado</v>
      </c>
      <c r="AB13" s="367">
        <f>IFERROR(IF(Q13="Impacto",(M13-(+M13*T13)),IF(Q13="Probabilidad",M13,"")),"")</f>
        <v>0.6</v>
      </c>
      <c r="AC13" s="368"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Moderado</v>
      </c>
      <c r="AD13" s="369" t="s">
        <v>96</v>
      </c>
      <c r="AE13" s="371" t="str">
        <f>MID(P13,56,400)</f>
        <v xml:space="preserve"> revisa y consolida las necesidades de productos manifestadas por los usuarios de la tienda y los procesos misionales en cumplimiento del procedimiento.</v>
      </c>
      <c r="AF13" s="371" t="s">
        <v>257</v>
      </c>
      <c r="AG13" s="371" t="s">
        <v>450</v>
      </c>
      <c r="AH13" s="371" t="str">
        <f t="shared" si="6"/>
        <v>Enero a Diciembre 2026</v>
      </c>
      <c r="AI13" s="371" t="s">
        <v>287</v>
      </c>
      <c r="AJ13" s="371" t="s">
        <v>288</v>
      </c>
    </row>
    <row r="14" spans="1:68" ht="49.9" customHeight="1" x14ac:dyDescent="0.3">
      <c r="A14" s="6"/>
      <c r="B14" s="504" t="s">
        <v>105</v>
      </c>
      <c r="C14" s="505"/>
      <c r="D14" s="505"/>
      <c r="E14" s="505"/>
      <c r="F14" s="505"/>
      <c r="G14" s="505"/>
      <c r="H14" s="505"/>
      <c r="I14" s="505"/>
      <c r="J14" s="505"/>
      <c r="K14" s="505"/>
      <c r="L14" s="505"/>
      <c r="M14" s="505"/>
      <c r="N14" s="505"/>
      <c r="O14" s="505"/>
      <c r="P14" s="505"/>
      <c r="Q14" s="505"/>
      <c r="R14" s="505"/>
      <c r="S14" s="505"/>
      <c r="T14" s="505"/>
      <c r="U14" s="505"/>
      <c r="V14" s="505"/>
      <c r="W14" s="505"/>
      <c r="X14" s="505"/>
      <c r="Y14" s="505"/>
      <c r="Z14" s="505"/>
      <c r="AA14" s="505"/>
      <c r="AB14" s="505"/>
      <c r="AC14" s="505"/>
      <c r="AD14" s="505"/>
      <c r="AE14" s="505"/>
      <c r="AF14" s="505"/>
      <c r="AG14" s="505"/>
      <c r="AH14" s="505"/>
      <c r="AI14" s="505"/>
      <c r="AJ14" s="506"/>
    </row>
    <row r="16" spans="1:68" x14ac:dyDescent="0.3">
      <c r="A16" s="1"/>
      <c r="B16" s="24" t="s">
        <v>106</v>
      </c>
      <c r="C16" s="1"/>
      <c r="D16" s="1"/>
      <c r="F16" s="1"/>
    </row>
  </sheetData>
  <dataConsolidate/>
  <mergeCells count="59">
    <mergeCell ref="B14:AJ14"/>
    <mergeCell ref="M10:M12"/>
    <mergeCell ref="N10:N12"/>
    <mergeCell ref="G10:G12"/>
    <mergeCell ref="H10:H12"/>
    <mergeCell ref="I10:I12"/>
    <mergeCell ref="J10:J12"/>
    <mergeCell ref="K10:K12"/>
    <mergeCell ref="L10:L12"/>
    <mergeCell ref="F10:F12"/>
    <mergeCell ref="A10:A12"/>
    <mergeCell ref="B10:B12"/>
    <mergeCell ref="C10:C12"/>
    <mergeCell ref="D10:D12"/>
    <mergeCell ref="E10:E12"/>
    <mergeCell ref="P8:P9"/>
    <mergeCell ref="Q8:Q9"/>
    <mergeCell ref="R8:W8"/>
    <mergeCell ref="X8:X9"/>
    <mergeCell ref="Y8:Y9"/>
    <mergeCell ref="J8:J9"/>
    <mergeCell ref="K8:K9"/>
    <mergeCell ref="L8:L9"/>
    <mergeCell ref="M8:M9"/>
    <mergeCell ref="N8:N9"/>
    <mergeCell ref="AA8:AA9"/>
    <mergeCell ref="AH8:AH9"/>
    <mergeCell ref="AI8:AI9"/>
    <mergeCell ref="AJ8:AJ9"/>
    <mergeCell ref="AD8:AD9"/>
    <mergeCell ref="AB8:AB9"/>
    <mergeCell ref="AC8:AC9"/>
    <mergeCell ref="A6:B6"/>
    <mergeCell ref="C6:N6"/>
    <mergeCell ref="A7:G7"/>
    <mergeCell ref="H7:N7"/>
    <mergeCell ref="O7:W7"/>
    <mergeCell ref="X7:AD7"/>
    <mergeCell ref="O8:O9"/>
    <mergeCell ref="AE7:AJ7"/>
    <mergeCell ref="A8:A9"/>
    <mergeCell ref="B8:B9"/>
    <mergeCell ref="C8:C9"/>
    <mergeCell ref="D8:D9"/>
    <mergeCell ref="E8:E9"/>
    <mergeCell ref="F8:F9"/>
    <mergeCell ref="G8:G9"/>
    <mergeCell ref="H8:H9"/>
    <mergeCell ref="I8:I9"/>
    <mergeCell ref="AG8:AG9"/>
    <mergeCell ref="Z8:Z9"/>
    <mergeCell ref="AE8:AE9"/>
    <mergeCell ref="AF8:AF9"/>
    <mergeCell ref="A1:AJ2"/>
    <mergeCell ref="A4:B4"/>
    <mergeCell ref="C4:N4"/>
    <mergeCell ref="O4:Q4"/>
    <mergeCell ref="A5:B5"/>
    <mergeCell ref="C5:N5"/>
  </mergeCells>
  <conditionalFormatting sqref="H10 Y10:Y13 H13">
    <cfRule type="cellIs" dxfId="301" priority="237" operator="equal">
      <formula>"Muy Alta"</formula>
    </cfRule>
    <cfRule type="cellIs" dxfId="300" priority="238" operator="equal">
      <formula>"Alta"</formula>
    </cfRule>
    <cfRule type="cellIs" dxfId="299" priority="239" operator="equal">
      <formula>"Media"</formula>
    </cfRule>
    <cfRule type="cellIs" dxfId="298" priority="240" operator="equal">
      <formula>"Baja"</formula>
    </cfRule>
    <cfRule type="cellIs" dxfId="297" priority="241" operator="equal">
      <formula>"Muy Baja"</formula>
    </cfRule>
  </conditionalFormatting>
  <conditionalFormatting sqref="L10 AA10:AA13">
    <cfRule type="cellIs" dxfId="296" priority="6" operator="equal">
      <formula>"Catastrófico"</formula>
    </cfRule>
    <cfRule type="cellIs" dxfId="295" priority="7" operator="equal">
      <formula>"Mayor"</formula>
    </cfRule>
    <cfRule type="cellIs" dxfId="294" priority="8" operator="equal">
      <formula>"Moderado"</formula>
    </cfRule>
    <cfRule type="cellIs" dxfId="293" priority="9" operator="equal">
      <formula>"Menor"</formula>
    </cfRule>
    <cfRule type="cellIs" dxfId="292" priority="10" operator="equal">
      <formula>"Leve"</formula>
    </cfRule>
  </conditionalFormatting>
  <conditionalFormatting sqref="L13">
    <cfRule type="cellIs" dxfId="291" priority="1" operator="equal">
      <formula>"Catastrófico"</formula>
    </cfRule>
    <cfRule type="cellIs" dxfId="290" priority="2" operator="equal">
      <formula>"Mayor"</formula>
    </cfRule>
    <cfRule type="cellIs" dxfId="289" priority="3" operator="equal">
      <formula>"Moderado"</formula>
    </cfRule>
    <cfRule type="cellIs" dxfId="288" priority="4" operator="equal">
      <formula>"Menor"</formula>
    </cfRule>
    <cfRule type="cellIs" dxfId="287" priority="5" operator="equal">
      <formula>"Leve"</formula>
    </cfRule>
  </conditionalFormatting>
  <conditionalFormatting sqref="N10 AC10:AC13">
    <cfRule type="cellIs" dxfId="286" priority="228" operator="equal">
      <formula>"Extremo"</formula>
    </cfRule>
    <cfRule type="cellIs" dxfId="285" priority="229" operator="equal">
      <formula>"Alto"</formula>
    </cfRule>
    <cfRule type="cellIs" dxfId="284" priority="230" operator="equal">
      <formula>"Moderado"</formula>
    </cfRule>
    <cfRule type="cellIs" dxfId="283" priority="231" operator="equal">
      <formula>"Bajo"</formula>
    </cfRule>
  </conditionalFormatting>
  <conditionalFormatting sqref="N13">
    <cfRule type="cellIs" dxfId="282" priority="210" operator="equal">
      <formula>"Extremo"</formula>
    </cfRule>
    <cfRule type="cellIs" dxfId="281" priority="211" operator="equal">
      <formula>"Alto"</formula>
    </cfRule>
    <cfRule type="cellIs" dxfId="280" priority="212" operator="equal">
      <formula>"Moderado"</formula>
    </cfRule>
    <cfRule type="cellIs" dxfId="279" priority="213"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D65ADB9F-B261-495B-B900-3C6A1D4B3E5E}">
          <x14:formula1>
            <xm:f>'Tabla Impacto'!$I$3:$I$8</xm:f>
          </x14:formula1>
          <xm:sqref>B10 B13</xm:sqref>
        </x14:dataValidation>
        <x14:dataValidation type="list" allowBlank="1" showInputMessage="1" showErrorMessage="1" xr:uid="{589A5C08-07B6-4B71-B13E-BC39405A45ED}">
          <x14:formula1>
            <xm:f>'Tabla Impacto'!$B$3:$B$8</xm:f>
          </x14:formula1>
          <xm:sqref>L10 L13</xm:sqref>
        </x14:dataValidation>
        <x14:dataValidation type="list" allowBlank="1" showInputMessage="1" showErrorMessage="1" xr:uid="{6A9D41C6-AA99-4649-9790-8159FA7EB65E}">
          <x14:formula1>
            <xm:f>'Tabla Valoración controles'!$D$13:$D$14</xm:f>
          </x14:formula1>
          <xm:sqref>W10:W13</xm:sqref>
        </x14:dataValidation>
        <x14:dataValidation type="list" allowBlank="1" showInputMessage="1" showErrorMessage="1" xr:uid="{227B0481-9FDF-4252-B1DB-950FA88D34B5}">
          <x14:formula1>
            <xm:f>'Tabla Valoración controles'!$D$11:$D$12</xm:f>
          </x14:formula1>
          <xm:sqref>V10:V13</xm:sqref>
        </x14:dataValidation>
        <x14:dataValidation type="list" allowBlank="1" showInputMessage="1" showErrorMessage="1" xr:uid="{CC2923DB-1132-4B6D-96E4-FF6A2F14C8A8}">
          <x14:formula1>
            <xm:f>'Tabla Valoración controles'!$D$9:$D$10</xm:f>
          </x14:formula1>
          <xm:sqref>U10:U13</xm:sqref>
        </x14:dataValidation>
        <x14:dataValidation type="list" allowBlank="1" showInputMessage="1" showErrorMessage="1" xr:uid="{5E47B09A-18FB-4B60-A6F8-C21AB2838100}">
          <x14:formula1>
            <xm:f>'Tabla Valoración controles'!$D$7:$D$8</xm:f>
          </x14:formula1>
          <xm:sqref>S10:S13</xm:sqref>
        </x14:dataValidation>
        <x14:dataValidation type="list" allowBlank="1" showInputMessage="1" showErrorMessage="1" xr:uid="{09CA751F-2AE7-4A6B-B3C8-0358A8F06ACC}">
          <x14:formula1>
            <xm:f>'Tabla Valoración controles'!$D$4:$D$6</xm:f>
          </x14:formula1>
          <xm:sqref>R10:R13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6">
    <tabColor rgb="FF00B050"/>
  </sheetPr>
  <dimension ref="A1:BP14"/>
  <sheetViews>
    <sheetView topLeftCell="N1" zoomScale="60" zoomScaleNormal="60" workbookViewId="0">
      <selection activeCell="P11" sqref="P11"/>
    </sheetView>
  </sheetViews>
  <sheetFormatPr baseColWidth="10" defaultColWidth="11.28515625" defaultRowHeight="16.5" x14ac:dyDescent="0.3"/>
  <cols>
    <col min="1" max="1" width="4" style="2" bestFit="1" customWidth="1"/>
    <col min="2" max="2" width="14.140625" style="2" customWidth="1"/>
    <col min="3" max="3" width="13.140625" style="2" customWidth="1"/>
    <col min="4" max="4" width="16.140625" style="2" customWidth="1"/>
    <col min="5" max="5" width="32.28515625" style="1" customWidth="1"/>
    <col min="6" max="6" width="19" style="5" customWidth="1"/>
    <col min="7" max="7" width="17.85546875" style="1" customWidth="1"/>
    <col min="8" max="8" width="16.28515625" style="1" customWidth="1"/>
    <col min="9" max="9" width="6.140625" style="1" customWidth="1"/>
    <col min="10" max="10" width="27.140625" style="1" customWidth="1"/>
    <col min="11" max="11" width="30.28515625" style="1" customWidth="1"/>
    <col min="12" max="12" width="17.28515625" style="1" customWidth="1"/>
    <col min="13" max="13" width="10" style="1" customWidth="1"/>
    <col min="14" max="14" width="16" style="1" customWidth="1"/>
    <col min="15" max="15" width="5.85546875" style="1" customWidth="1"/>
    <col min="16" max="16" width="37.28515625" style="1" customWidth="1"/>
    <col min="17" max="17" width="15.140625" style="1" bestFit="1" customWidth="1"/>
    <col min="18" max="18" width="6.85546875" style="1" customWidth="1"/>
    <col min="19" max="19" width="5" style="1" customWidth="1"/>
    <col min="20" max="20" width="5.28515625" style="1" customWidth="1"/>
    <col min="21" max="21" width="7.140625" style="1" customWidth="1"/>
    <col min="22" max="22" width="6.85546875" style="1" customWidth="1"/>
    <col min="23" max="23" width="7.28515625" style="1" customWidth="1"/>
    <col min="24" max="25" width="8.85546875" style="1" customWidth="1"/>
    <col min="26" max="26" width="10.28515625" style="1" customWidth="1"/>
    <col min="27" max="28" width="9.140625" style="1" customWidth="1"/>
    <col min="29" max="29" width="8.28515625" style="1" customWidth="1"/>
    <col min="30" max="30" width="7.140625" style="1" customWidth="1"/>
    <col min="31" max="31" width="23" style="1" customWidth="1"/>
    <col min="32" max="32" width="18.85546875" style="1" customWidth="1"/>
    <col min="33" max="33" width="16.85546875" style="1" customWidth="1"/>
    <col min="34" max="34" width="14.85546875" style="1" customWidth="1"/>
    <col min="35" max="35" width="21.28515625" style="1" customWidth="1"/>
    <col min="36" max="36" width="21" style="1" customWidth="1"/>
    <col min="37" max="16384" width="11.28515625" style="1"/>
  </cols>
  <sheetData>
    <row r="1" spans="1:68" ht="16.5" customHeight="1" x14ac:dyDescent="0.3">
      <c r="A1" s="472" t="s">
        <v>60</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4"/>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row>
    <row r="2" spans="1:68" ht="24" customHeight="1" x14ac:dyDescent="0.3">
      <c r="A2" s="475"/>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7"/>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row>
    <row r="3" spans="1:68" x14ac:dyDescent="0.3">
      <c r="A3" s="28"/>
      <c r="B3" s="29"/>
      <c r="C3" s="28"/>
      <c r="D3" s="28"/>
      <c r="E3" s="8"/>
      <c r="F3" s="2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ht="26.65" customHeight="1" x14ac:dyDescent="0.3">
      <c r="A4" s="478" t="s">
        <v>61</v>
      </c>
      <c r="B4" s="479"/>
      <c r="C4" s="480" t="s">
        <v>242</v>
      </c>
      <c r="D4" s="481"/>
      <c r="E4" s="481"/>
      <c r="F4" s="481"/>
      <c r="G4" s="481"/>
      <c r="H4" s="481"/>
      <c r="I4" s="481"/>
      <c r="J4" s="481"/>
      <c r="K4" s="481"/>
      <c r="L4" s="481"/>
      <c r="M4" s="481"/>
      <c r="N4" s="482"/>
      <c r="O4" s="483"/>
      <c r="P4" s="483"/>
      <c r="Q4" s="483"/>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8" ht="30.4" customHeight="1" x14ac:dyDescent="0.3">
      <c r="A5" s="478" t="s">
        <v>62</v>
      </c>
      <c r="B5" s="479"/>
      <c r="C5" s="480" t="s">
        <v>243</v>
      </c>
      <c r="D5" s="481"/>
      <c r="E5" s="481"/>
      <c r="F5" s="481"/>
      <c r="G5" s="481"/>
      <c r="H5" s="481"/>
      <c r="I5" s="481"/>
      <c r="J5" s="481"/>
      <c r="K5" s="481"/>
      <c r="L5" s="481"/>
      <c r="M5" s="481"/>
      <c r="N5" s="482"/>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8" ht="49.9" customHeight="1" x14ac:dyDescent="0.3">
      <c r="A6" s="478" t="s">
        <v>63</v>
      </c>
      <c r="B6" s="479"/>
      <c r="C6" s="484" t="s">
        <v>244</v>
      </c>
      <c r="D6" s="499"/>
      <c r="E6" s="499"/>
      <c r="F6" s="499"/>
      <c r="G6" s="499"/>
      <c r="H6" s="499"/>
      <c r="I6" s="499"/>
      <c r="J6" s="499"/>
      <c r="K6" s="499"/>
      <c r="L6" s="499"/>
      <c r="M6" s="499"/>
      <c r="N6" s="500"/>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8" x14ac:dyDescent="0.3">
      <c r="A7" s="631" t="s">
        <v>64</v>
      </c>
      <c r="B7" s="632"/>
      <c r="C7" s="632"/>
      <c r="D7" s="632"/>
      <c r="E7" s="632"/>
      <c r="F7" s="632"/>
      <c r="G7" s="633"/>
      <c r="H7" s="631" t="s">
        <v>65</v>
      </c>
      <c r="I7" s="632"/>
      <c r="J7" s="632"/>
      <c r="K7" s="632"/>
      <c r="L7" s="632"/>
      <c r="M7" s="632"/>
      <c r="N7" s="633"/>
      <c r="O7" s="631" t="s">
        <v>66</v>
      </c>
      <c r="P7" s="632"/>
      <c r="Q7" s="632"/>
      <c r="R7" s="632"/>
      <c r="S7" s="632"/>
      <c r="T7" s="632"/>
      <c r="U7" s="632"/>
      <c r="V7" s="632"/>
      <c r="W7" s="633"/>
      <c r="X7" s="631" t="s">
        <v>67</v>
      </c>
      <c r="Y7" s="632"/>
      <c r="Z7" s="632"/>
      <c r="AA7" s="632"/>
      <c r="AB7" s="632"/>
      <c r="AC7" s="632"/>
      <c r="AD7" s="633"/>
      <c r="AE7" s="631" t="s">
        <v>68</v>
      </c>
      <c r="AF7" s="632"/>
      <c r="AG7" s="632"/>
      <c r="AH7" s="632"/>
      <c r="AI7" s="632"/>
      <c r="AJ7" s="633"/>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ht="16.5" customHeight="1" x14ac:dyDescent="0.3">
      <c r="A8" s="636" t="s">
        <v>69</v>
      </c>
      <c r="B8" s="638" t="s">
        <v>15</v>
      </c>
      <c r="C8" s="639" t="s">
        <v>17</v>
      </c>
      <c r="D8" s="639" t="s">
        <v>19</v>
      </c>
      <c r="E8" s="641" t="s">
        <v>21</v>
      </c>
      <c r="F8" s="642" t="s">
        <v>23</v>
      </c>
      <c r="G8" s="639" t="s">
        <v>70</v>
      </c>
      <c r="H8" s="643" t="s">
        <v>71</v>
      </c>
      <c r="I8" s="644" t="s">
        <v>72</v>
      </c>
      <c r="J8" s="642" t="s">
        <v>73</v>
      </c>
      <c r="K8" s="642" t="s">
        <v>74</v>
      </c>
      <c r="L8" s="648" t="s">
        <v>75</v>
      </c>
      <c r="M8" s="644" t="s">
        <v>72</v>
      </c>
      <c r="N8" s="639" t="s">
        <v>29</v>
      </c>
      <c r="O8" s="634" t="s">
        <v>76</v>
      </c>
      <c r="P8" s="647" t="s">
        <v>31</v>
      </c>
      <c r="Q8" s="642" t="s">
        <v>33</v>
      </c>
      <c r="R8" s="640" t="s">
        <v>77</v>
      </c>
      <c r="S8" s="640"/>
      <c r="T8" s="640"/>
      <c r="U8" s="640"/>
      <c r="V8" s="640"/>
      <c r="W8" s="640"/>
      <c r="X8" s="646" t="s">
        <v>78</v>
      </c>
      <c r="Y8" s="646" t="s">
        <v>79</v>
      </c>
      <c r="Z8" s="646" t="s">
        <v>72</v>
      </c>
      <c r="AA8" s="646" t="s">
        <v>80</v>
      </c>
      <c r="AB8" s="646" t="s">
        <v>72</v>
      </c>
      <c r="AC8" s="646" t="s">
        <v>81</v>
      </c>
      <c r="AD8" s="634" t="s">
        <v>49</v>
      </c>
      <c r="AE8" s="647" t="s">
        <v>68</v>
      </c>
      <c r="AF8" s="640" t="s">
        <v>82</v>
      </c>
      <c r="AG8" s="496" t="s">
        <v>264</v>
      </c>
      <c r="AH8" s="496" t="s">
        <v>265</v>
      </c>
      <c r="AI8" s="496" t="s">
        <v>262</v>
      </c>
      <c r="AJ8" s="496" t="s">
        <v>263</v>
      </c>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8" s="4" customFormat="1" ht="94.9" customHeight="1" x14ac:dyDescent="0.25">
      <c r="A9" s="637"/>
      <c r="B9" s="638"/>
      <c r="C9" s="640"/>
      <c r="D9" s="640"/>
      <c r="E9" s="638"/>
      <c r="F9" s="639"/>
      <c r="G9" s="640"/>
      <c r="H9" s="639"/>
      <c r="I9" s="645"/>
      <c r="J9" s="639"/>
      <c r="K9" s="639"/>
      <c r="L9" s="645"/>
      <c r="M9" s="645"/>
      <c r="N9" s="640"/>
      <c r="O9" s="635"/>
      <c r="P9" s="647"/>
      <c r="Q9" s="639"/>
      <c r="R9" s="7" t="s">
        <v>83</v>
      </c>
      <c r="S9" s="7" t="s">
        <v>84</v>
      </c>
      <c r="T9" s="7" t="s">
        <v>85</v>
      </c>
      <c r="U9" s="7" t="s">
        <v>86</v>
      </c>
      <c r="V9" s="7" t="s">
        <v>87</v>
      </c>
      <c r="W9" s="7" t="s">
        <v>88</v>
      </c>
      <c r="X9" s="646"/>
      <c r="Y9" s="646"/>
      <c r="Z9" s="646"/>
      <c r="AA9" s="646"/>
      <c r="AB9" s="646"/>
      <c r="AC9" s="646"/>
      <c r="AD9" s="635"/>
      <c r="AE9" s="647"/>
      <c r="AF9" s="640"/>
      <c r="AG9" s="496"/>
      <c r="AH9" s="496"/>
      <c r="AI9" s="496"/>
      <c r="AJ9" s="496"/>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row>
    <row r="10" spans="1:68" s="325" customFormat="1" ht="167.25" customHeight="1" x14ac:dyDescent="0.25">
      <c r="A10" s="649">
        <v>1</v>
      </c>
      <c r="B10" s="523" t="s">
        <v>89</v>
      </c>
      <c r="C10" s="650" t="s">
        <v>245</v>
      </c>
      <c r="D10" s="650" t="s">
        <v>246</v>
      </c>
      <c r="E10" s="650" t="s">
        <v>247</v>
      </c>
      <c r="F10" s="650" t="s">
        <v>90</v>
      </c>
      <c r="G10" s="654">
        <v>890</v>
      </c>
      <c r="H10" s="656" t="str">
        <f>IF(G10&lt;=0,"",IF(G10&lt;=2,"Muy Baja",IF(G10&lt;=24,"Baja",IF(G10&lt;=500,"Media",IF(G10&lt;=5000,"Alta","Muy Alta")))))</f>
        <v>Alta</v>
      </c>
      <c r="I10" s="658">
        <f>IF(H10="","",IF(H10="Muy Baja",0.2,IF(H10="Baja",0.4,IF(H10="Media",0.6,IF(H10="Alta",0.8,IF(H10="Muy Alta",1,))))))</f>
        <v>0.8</v>
      </c>
      <c r="J10" s="517" t="str">
        <f>IF(OR($B$10="Reputacional",$B$10="Económica"),VLOOKUP($L$10,'Tabla Impacto'!$B$4:$G$8,4,0),IF(AND($B$10="Reputacional y Económica"),VLOOKUP($L$10,'Tabla Impacto'!$B$4:$G$8,5,0),((VLOOKUP($L$10,'Tabla Impacto'!$B$4:$G$8,2,0)))))</f>
        <v>El Impacto se evalúo como Catastrófico. El riesgo afecta la imagen de la entidad a nivel nacional, con efecto publicitarios sostenible a nivel país.</v>
      </c>
      <c r="K10" s="517" t="str">
        <f>IF(OR($B$10="Reputacional",$B$10="Económica"),VLOOKUP($L$10,'Tabla Impacto'!$B$4:$G$8,4,0),IF(AND($B$10="Reputacional y Económica"),VLOOKUP($L$10,'Tabla Impacto'!$B$4:$G$8,5,0),((VLOOKUP($L$10,'Tabla Impacto'!$B$4:$G$8,2,0)))))</f>
        <v>El Impacto se evalúo como Catastrófico. El riesgo afecta la imagen de la entidad a nivel nacional, con efecto publicitarios sostenible a nivel país.</v>
      </c>
      <c r="L10" s="514" t="s">
        <v>148</v>
      </c>
      <c r="M10" s="511">
        <f>VLOOKUP(L10,'Tabla Impacto'!$B$4:$G$8,6,0)</f>
        <v>1</v>
      </c>
      <c r="N10" s="652"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Extremo</v>
      </c>
      <c r="O10" s="360">
        <v>1</v>
      </c>
      <c r="P10" s="323" t="s">
        <v>436</v>
      </c>
      <c r="Q10" s="389" t="str">
        <f t="shared" ref="Q10:Q11" si="0">IF(OR(R10="Preventivo",R10="Detectivo"),"Probabilidad",IF(R10="Correctivo","Impacto",""))</f>
        <v>Impacto</v>
      </c>
      <c r="R10" s="390" t="s">
        <v>98</v>
      </c>
      <c r="S10" s="390" t="s">
        <v>103</v>
      </c>
      <c r="T10" s="391" t="str">
        <f t="shared" ref="T10:T11" si="1">IF(AND(R10="Preventivo",S10="Automático"),"50%",IF(AND(R10="Preventivo",S10="Manual"),"40%",IF(AND(R10="Detectivo",S10="Automático"),"40%",IF(AND(R10="Detectivo",S10="Manual"),"30%",IF(AND(R10="Correctivo",S10="Automático"),"35%",IF(AND(R10="Correctivo",S10="Manual"),"25%",""))))))</f>
        <v>35%</v>
      </c>
      <c r="U10" s="390" t="s">
        <v>93</v>
      </c>
      <c r="V10" s="390" t="s">
        <v>94</v>
      </c>
      <c r="W10" s="390" t="s">
        <v>95</v>
      </c>
      <c r="X10" s="392">
        <f>IFERROR(IF(Q10="Probabilidad",(I10-(+I10*T10)),IF(Q10="Impacto",I10,"")),"")</f>
        <v>0.8</v>
      </c>
      <c r="Y10" s="393" t="str">
        <f>IFERROR(IF(X10="","",IF(X10&lt;=0.2,"Muy Baja",IF(X10&lt;=0.4,"Baja",IF(X10&lt;=0.6,"Media",IF(X10&lt;=0.8,"Alta","Muy Alta"))))),"")</f>
        <v>Alta</v>
      </c>
      <c r="Z10" s="394">
        <f t="shared" ref="Z10:Z11" si="2">+X10</f>
        <v>0.8</v>
      </c>
      <c r="AA10" s="393" t="str">
        <f>IFERROR(IF(AB10="","",IF(AB10&lt;=0.2,"Leve",IF(AB10&lt;=0.4,"Menor",IF(AB10&lt;=0.6,"Moderado",IF(AB10&lt;=0.8,"Mayor","Catastrófico"))))),"")</f>
        <v>Mayor</v>
      </c>
      <c r="AB10" s="394">
        <f>IFERROR(IF(Q10="Impacto",(M10-(+M10*T10)),IF(Q10="Probabilidad",M10,"")),"")</f>
        <v>0.65</v>
      </c>
      <c r="AC10" s="395" t="str">
        <f t="shared" ref="AC10:AC1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396" t="s">
        <v>96</v>
      </c>
      <c r="AE10" s="398" t="str">
        <f>MID(P10,88,400)</f>
        <v xml:space="preserve"> revisa la calidad y el cumplimiento de los tiempos y pausas institucionales de los contenidos radiales.</v>
      </c>
      <c r="AF10" s="398" t="s">
        <v>248</v>
      </c>
      <c r="AG10" s="398" t="s">
        <v>399</v>
      </c>
      <c r="AH10" s="399" t="str">
        <f>AG10</f>
        <v>Enero a diciembre de 2026</v>
      </c>
      <c r="AI10" s="399" t="s">
        <v>297</v>
      </c>
      <c r="AJ10" s="397" t="s">
        <v>268</v>
      </c>
    </row>
    <row r="11" spans="1:68" s="330" customFormat="1" ht="151.5" customHeight="1" x14ac:dyDescent="0.3">
      <c r="A11" s="507"/>
      <c r="B11" s="525"/>
      <c r="C11" s="651"/>
      <c r="D11" s="651"/>
      <c r="E11" s="651"/>
      <c r="F11" s="651"/>
      <c r="G11" s="655"/>
      <c r="H11" s="657"/>
      <c r="I11" s="659"/>
      <c r="J11" s="519"/>
      <c r="K11" s="519"/>
      <c r="L11" s="516"/>
      <c r="M11" s="513"/>
      <c r="N11" s="653"/>
      <c r="O11" s="360">
        <v>2</v>
      </c>
      <c r="P11" s="323" t="s">
        <v>437</v>
      </c>
      <c r="Q11" s="389" t="str">
        <f t="shared" si="0"/>
        <v>Impacto</v>
      </c>
      <c r="R11" s="390" t="s">
        <v>98</v>
      </c>
      <c r="S11" s="390" t="s">
        <v>103</v>
      </c>
      <c r="T11" s="391" t="str">
        <f t="shared" si="1"/>
        <v>35%</v>
      </c>
      <c r="U11" s="390" t="s">
        <v>93</v>
      </c>
      <c r="V11" s="390" t="s">
        <v>94</v>
      </c>
      <c r="W11" s="390" t="s">
        <v>95</v>
      </c>
      <c r="X11" s="392">
        <f>IFERROR(IF(AND(Q10="Probabilidad",Q11="Probabilidad"),(Z10-(+Z10*T11)),IF(Q11="Probabilidad",(I10-(+I10*T11)),IF(Q11="Impacto",Z10,""))),"")</f>
        <v>0.8</v>
      </c>
      <c r="Y11" s="393" t="str">
        <f t="shared" ref="Y11" si="4">IFERROR(IF(X11="","",IF(X11&lt;=0.2,"Muy Baja",IF(X11&lt;=0.4,"Baja",IF(X11&lt;=0.6,"Media",IF(X11&lt;=0.8,"Alta","Muy Alta"))))),"")</f>
        <v>Alta</v>
      </c>
      <c r="Z11" s="394">
        <f t="shared" si="2"/>
        <v>0.8</v>
      </c>
      <c r="AA11" s="393" t="str">
        <f t="shared" ref="AA11" si="5">IFERROR(IF(AB11="","",IF(AB11&lt;=0.2,"Leve",IF(AB11&lt;=0.4,"Menor",IF(AB11&lt;=0.6,"Moderado",IF(AB11&lt;=0.8,"Mayor","Catastrófico"))))),"")</f>
        <v>Moderado</v>
      </c>
      <c r="AB11" s="394">
        <f>IFERROR(IF(AND(Q10="Impacto",Q11="Impacto"),(AB10-(+AB10*T11)),IF(Q11="Impacto",($M$10-(+$M$10*T11)),IF(Q11="Probabilidad",AB10,""))),"")</f>
        <v>0.42250000000000004</v>
      </c>
      <c r="AC11" s="395" t="str">
        <f t="shared" si="3"/>
        <v>Alto</v>
      </c>
      <c r="AD11" s="396" t="s">
        <v>96</v>
      </c>
      <c r="AE11" s="398" t="str">
        <f>MID(P11,72,400)</f>
        <v>verifica el cumplimiento de los criterios de calidad del producto,  establecidos en  el  procedimiento audiovisual.</v>
      </c>
      <c r="AF11" s="398" t="s">
        <v>248</v>
      </c>
      <c r="AG11" s="398" t="s">
        <v>399</v>
      </c>
      <c r="AH11" s="399" t="str">
        <f>AG11</f>
        <v>Enero a diciembre de 2026</v>
      </c>
      <c r="AI11" s="398" t="s">
        <v>298</v>
      </c>
      <c r="AJ11" s="398"/>
    </row>
    <row r="12" spans="1:68" ht="49.9" customHeight="1" x14ac:dyDescent="0.3">
      <c r="A12" s="6"/>
      <c r="B12" s="504" t="s">
        <v>105</v>
      </c>
      <c r="C12" s="505"/>
      <c r="D12" s="505"/>
      <c r="E12" s="505"/>
      <c r="F12" s="505"/>
      <c r="G12" s="505"/>
      <c r="H12" s="505"/>
      <c r="I12" s="505"/>
      <c r="J12" s="505"/>
      <c r="K12" s="505"/>
      <c r="L12" s="505"/>
      <c r="M12" s="505"/>
      <c r="N12" s="505"/>
      <c r="O12" s="505"/>
      <c r="P12" s="505"/>
      <c r="Q12" s="505"/>
      <c r="R12" s="505"/>
      <c r="S12" s="505"/>
      <c r="T12" s="505"/>
      <c r="U12" s="505"/>
      <c r="V12" s="505"/>
      <c r="W12" s="505"/>
      <c r="X12" s="505"/>
      <c r="Y12" s="505"/>
      <c r="Z12" s="505"/>
      <c r="AA12" s="505"/>
      <c r="AB12" s="505"/>
      <c r="AC12" s="505"/>
      <c r="AD12" s="505"/>
      <c r="AE12" s="505"/>
      <c r="AF12" s="505"/>
      <c r="AG12" s="505"/>
      <c r="AH12" s="505"/>
      <c r="AI12" s="505"/>
      <c r="AJ12" s="506"/>
    </row>
    <row r="14" spans="1:68" x14ac:dyDescent="0.3">
      <c r="A14" s="1"/>
      <c r="B14" s="24" t="s">
        <v>106</v>
      </c>
      <c r="C14" s="1"/>
      <c r="D14" s="1"/>
      <c r="F14" s="1"/>
    </row>
  </sheetData>
  <dataConsolidate/>
  <mergeCells count="59">
    <mergeCell ref="B12:AJ12"/>
    <mergeCell ref="M10:M11"/>
    <mergeCell ref="N10:N11"/>
    <mergeCell ref="G10:G11"/>
    <mergeCell ref="H10:H11"/>
    <mergeCell ref="I10:I11"/>
    <mergeCell ref="J10:J11"/>
    <mergeCell ref="K10:K11"/>
    <mergeCell ref="L10:L11"/>
    <mergeCell ref="F10:F11"/>
    <mergeCell ref="A10:A11"/>
    <mergeCell ref="B10:B11"/>
    <mergeCell ref="C10:C11"/>
    <mergeCell ref="D10:D11"/>
    <mergeCell ref="E10:E11"/>
    <mergeCell ref="P8:P9"/>
    <mergeCell ref="Q8:Q9"/>
    <mergeCell ref="R8:W8"/>
    <mergeCell ref="X8:X9"/>
    <mergeCell ref="Y8:Y9"/>
    <mergeCell ref="J8:J9"/>
    <mergeCell ref="K8:K9"/>
    <mergeCell ref="L8:L9"/>
    <mergeCell ref="M8:M9"/>
    <mergeCell ref="N8:N9"/>
    <mergeCell ref="AA8:AA9"/>
    <mergeCell ref="AH8:AH9"/>
    <mergeCell ref="AI8:AI9"/>
    <mergeCell ref="AJ8:AJ9"/>
    <mergeCell ref="AD8:AD9"/>
    <mergeCell ref="AB8:AB9"/>
    <mergeCell ref="AC8:AC9"/>
    <mergeCell ref="A6:B6"/>
    <mergeCell ref="C6:N6"/>
    <mergeCell ref="A7:G7"/>
    <mergeCell ref="H7:N7"/>
    <mergeCell ref="O7:W7"/>
    <mergeCell ref="X7:AD7"/>
    <mergeCell ref="O8:O9"/>
    <mergeCell ref="AE7:AJ7"/>
    <mergeCell ref="A8:A9"/>
    <mergeCell ref="B8:B9"/>
    <mergeCell ref="C8:C9"/>
    <mergeCell ref="D8:D9"/>
    <mergeCell ref="E8:E9"/>
    <mergeCell ref="F8:F9"/>
    <mergeCell ref="G8:G9"/>
    <mergeCell ref="H8:H9"/>
    <mergeCell ref="I8:I9"/>
    <mergeCell ref="AG8:AG9"/>
    <mergeCell ref="Z8:Z9"/>
    <mergeCell ref="AE8:AE9"/>
    <mergeCell ref="AF8:AF9"/>
    <mergeCell ref="A1:AJ2"/>
    <mergeCell ref="A4:B4"/>
    <mergeCell ref="C4:N4"/>
    <mergeCell ref="O4:Q4"/>
    <mergeCell ref="A5:B5"/>
    <mergeCell ref="C5:N5"/>
  </mergeCells>
  <conditionalFormatting sqref="H10 Y10:Y11">
    <cfRule type="cellIs" dxfId="278" priority="233" operator="equal">
      <formula>"Muy Alta"</formula>
    </cfRule>
    <cfRule type="cellIs" dxfId="277" priority="234" operator="equal">
      <formula>"Alta"</formula>
    </cfRule>
    <cfRule type="cellIs" dxfId="276" priority="235" operator="equal">
      <formula>"Media"</formula>
    </cfRule>
    <cfRule type="cellIs" dxfId="275" priority="236" operator="equal">
      <formula>"Baja"</formula>
    </cfRule>
    <cfRule type="cellIs" dxfId="274" priority="237" operator="equal">
      <formula>"Muy Baja"</formula>
    </cfRule>
  </conditionalFormatting>
  <conditionalFormatting sqref="L10">
    <cfRule type="cellIs" dxfId="273" priority="2" operator="equal">
      <formula>"Catastrófico"</formula>
    </cfRule>
    <cfRule type="cellIs" dxfId="272" priority="3" operator="equal">
      <formula>"Mayor"</formula>
    </cfRule>
    <cfRule type="cellIs" dxfId="271" priority="4" operator="equal">
      <formula>"Moderado"</formula>
    </cfRule>
    <cfRule type="cellIs" dxfId="270" priority="5" operator="equal">
      <formula>"Menor"</formula>
    </cfRule>
    <cfRule type="cellIs" dxfId="269" priority="6" operator="equal">
      <formula>"Leve"</formula>
    </cfRule>
  </conditionalFormatting>
  <conditionalFormatting sqref="M10">
    <cfRule type="containsText" dxfId="268" priority="1" operator="containsText" text="❌">
      <formula>NOT(ISERROR(SEARCH("❌",M10)))</formula>
    </cfRule>
  </conditionalFormatting>
  <conditionalFormatting sqref="N10 AC10:AC11">
    <cfRule type="cellIs" dxfId="267" priority="224" operator="equal">
      <formula>"Extremo"</formula>
    </cfRule>
    <cfRule type="cellIs" dxfId="266" priority="225" operator="equal">
      <formula>"Alto"</formula>
    </cfRule>
    <cfRule type="cellIs" dxfId="265" priority="226" operator="equal">
      <formula>"Moderado"</formula>
    </cfRule>
    <cfRule type="cellIs" dxfId="264" priority="227" operator="equal">
      <formula>"Bajo"</formula>
    </cfRule>
  </conditionalFormatting>
  <conditionalFormatting sqref="AA10:AA11">
    <cfRule type="cellIs" dxfId="263" priority="228" operator="equal">
      <formula>"Catastrófico"</formula>
    </cfRule>
    <cfRule type="cellIs" dxfId="262" priority="229" operator="equal">
      <formula>"Mayor"</formula>
    </cfRule>
    <cfRule type="cellIs" dxfId="261" priority="230" operator="equal">
      <formula>"Moderado"</formula>
    </cfRule>
    <cfRule type="cellIs" dxfId="260" priority="231" operator="equal">
      <formula>"Menor"</formula>
    </cfRule>
    <cfRule type="cellIs" dxfId="259" priority="232" operator="equal">
      <formula>"Leve"</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2FDBA5B1-A228-40BA-869B-187F695F509E}">
          <x14:formula1>
            <xm:f>'Tabla Valoración controles'!$D$13:$D$14</xm:f>
          </x14:formula1>
          <xm:sqref>W10:W11</xm:sqref>
        </x14:dataValidation>
        <x14:dataValidation type="list" allowBlank="1" showInputMessage="1" showErrorMessage="1" xr:uid="{5BE8C0FB-1635-4CE9-93C4-22F95EFD6E50}">
          <x14:formula1>
            <xm:f>'Tabla Valoración controles'!$D$11:$D$12</xm:f>
          </x14:formula1>
          <xm:sqref>V10:V11</xm:sqref>
        </x14:dataValidation>
        <x14:dataValidation type="list" allowBlank="1" showInputMessage="1" showErrorMessage="1" xr:uid="{24EE87EA-F286-4E77-9160-D88AFBEC4A09}">
          <x14:formula1>
            <xm:f>'Tabla Valoración controles'!$D$9:$D$10</xm:f>
          </x14:formula1>
          <xm:sqref>U10:U11</xm:sqref>
        </x14:dataValidation>
        <x14:dataValidation type="list" allowBlank="1" showInputMessage="1" showErrorMessage="1" xr:uid="{CB1AD464-9F98-48E9-9D2E-4B7E1452CD51}">
          <x14:formula1>
            <xm:f>'Tabla Valoración controles'!$D$7:$D$8</xm:f>
          </x14:formula1>
          <xm:sqref>S10:S11</xm:sqref>
        </x14:dataValidation>
        <x14:dataValidation type="list" allowBlank="1" showInputMessage="1" showErrorMessage="1" xr:uid="{69EF5F3F-4D6E-4612-8E0F-DABE59043C0F}">
          <x14:formula1>
            <xm:f>'Tabla Valoración controles'!$D$4:$D$6</xm:f>
          </x14:formula1>
          <xm:sqref>R10:R11</xm:sqref>
        </x14:dataValidation>
        <x14:dataValidation type="list" allowBlank="1" showInputMessage="1" showErrorMessage="1" xr:uid="{7A800442-7B71-47DB-AD7D-9F6C2DB98720}">
          <x14:formula1>
            <xm:f>'Tabla Impacto'!$B$3:$B$8</xm:f>
          </x14:formula1>
          <xm:sqref>L10</xm:sqref>
        </x14:dataValidation>
        <x14:dataValidation type="list" allowBlank="1" showInputMessage="1" showErrorMessage="1" xr:uid="{596B73D3-3C3D-4153-BA9A-2931728D09E0}">
          <x14:formula1>
            <xm:f>'Tabla Impacto'!$I$3:$I$8</xm:f>
          </x14:formula1>
          <xm:sqref>B10:B11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tabColor rgb="FF00B050"/>
  </sheetPr>
  <dimension ref="A1:BP17"/>
  <sheetViews>
    <sheetView topLeftCell="M7" workbookViewId="0">
      <selection activeCell="P10" sqref="P10"/>
    </sheetView>
  </sheetViews>
  <sheetFormatPr baseColWidth="10" defaultColWidth="11.28515625" defaultRowHeight="14.25" x14ac:dyDescent="0.2"/>
  <cols>
    <col min="1" max="1" width="4" style="281" bestFit="1" customWidth="1"/>
    <col min="2" max="2" width="16.28515625" style="281" customWidth="1"/>
    <col min="3" max="3" width="17.85546875" style="281" customWidth="1"/>
    <col min="4" max="4" width="16.140625" style="281" customWidth="1"/>
    <col min="5" max="5" width="20.28515625" style="274" customWidth="1"/>
    <col min="6" max="6" width="21.7109375" style="282" customWidth="1"/>
    <col min="7" max="7" width="17.85546875" style="274" customWidth="1"/>
    <col min="8" max="8" width="16.28515625" style="274" customWidth="1"/>
    <col min="9" max="9" width="6.140625" style="274" bestFit="1" customWidth="1"/>
    <col min="10" max="10" width="20.140625" style="274" customWidth="1"/>
    <col min="11" max="11" width="22.28515625" style="274" customWidth="1"/>
    <col min="12" max="12" width="12.7109375" style="274" customWidth="1"/>
    <col min="13" max="13" width="6.140625" style="274" bestFit="1" customWidth="1"/>
    <col min="14" max="14" width="15" style="274" customWidth="1"/>
    <col min="15" max="15" width="5.85546875" style="274" customWidth="1"/>
    <col min="16" max="16" width="59.7109375" style="274" customWidth="1"/>
    <col min="17" max="17" width="24" style="274" customWidth="1"/>
    <col min="18" max="18" width="6.85546875" style="274" customWidth="1"/>
    <col min="19" max="19" width="5" style="274" customWidth="1"/>
    <col min="20" max="20" width="5.28515625" style="274" customWidth="1"/>
    <col min="21" max="21" width="7.140625" style="274" customWidth="1"/>
    <col min="22" max="22" width="6.85546875" style="274" customWidth="1"/>
    <col min="23" max="23" width="7.28515625" style="274" customWidth="1"/>
    <col min="24" max="24" width="10.28515625" style="274" customWidth="1"/>
    <col min="25" max="25" width="8.85546875" style="274" customWidth="1"/>
    <col min="26" max="26" width="10.28515625" style="274" customWidth="1"/>
    <col min="27" max="28" width="9.140625" style="274" customWidth="1"/>
    <col min="29" max="29" width="7.28515625" style="274" customWidth="1"/>
    <col min="30" max="30" width="7.140625" style="274" customWidth="1"/>
    <col min="31" max="31" width="46.7109375" style="274" customWidth="1"/>
    <col min="32" max="32" width="18.85546875" style="274" customWidth="1"/>
    <col min="33" max="33" width="16.85546875" style="274" customWidth="1"/>
    <col min="34" max="34" width="14.85546875" style="274" customWidth="1"/>
    <col min="35" max="35" width="33.28515625" style="274" customWidth="1"/>
    <col min="36" max="36" width="26.140625" style="274" customWidth="1"/>
    <col min="37" max="16384" width="11.28515625" style="274"/>
  </cols>
  <sheetData>
    <row r="1" spans="1:68" ht="16.5" customHeight="1" x14ac:dyDescent="0.2">
      <c r="A1" s="660" t="s">
        <v>60</v>
      </c>
      <c r="B1" s="661"/>
      <c r="C1" s="661"/>
      <c r="D1" s="661"/>
      <c r="E1" s="661"/>
      <c r="F1" s="661"/>
      <c r="G1" s="661"/>
      <c r="H1" s="661"/>
      <c r="I1" s="661"/>
      <c r="J1" s="661"/>
      <c r="K1" s="661"/>
      <c r="L1" s="661"/>
      <c r="M1" s="661"/>
      <c r="N1" s="661"/>
      <c r="O1" s="661"/>
      <c r="P1" s="661"/>
      <c r="Q1" s="661"/>
      <c r="R1" s="661"/>
      <c r="S1" s="661"/>
      <c r="T1" s="661"/>
      <c r="U1" s="661"/>
      <c r="V1" s="661"/>
      <c r="W1" s="661"/>
      <c r="X1" s="661"/>
      <c r="Y1" s="661"/>
      <c r="Z1" s="661"/>
      <c r="AA1" s="661"/>
      <c r="AB1" s="661"/>
      <c r="AC1" s="661"/>
      <c r="AD1" s="661"/>
      <c r="AE1" s="661"/>
      <c r="AF1" s="661"/>
      <c r="AG1" s="661"/>
      <c r="AH1" s="661"/>
      <c r="AI1" s="661"/>
      <c r="AJ1" s="662"/>
      <c r="AK1" s="273"/>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273"/>
      <c r="BM1" s="273"/>
      <c r="BN1" s="273"/>
      <c r="BO1" s="273"/>
      <c r="BP1" s="273"/>
    </row>
    <row r="2" spans="1:68" ht="24" customHeight="1" x14ac:dyDescent="0.2">
      <c r="A2" s="663"/>
      <c r="B2" s="664"/>
      <c r="C2" s="664"/>
      <c r="D2" s="664"/>
      <c r="E2" s="664"/>
      <c r="F2" s="664"/>
      <c r="G2" s="664"/>
      <c r="H2" s="664"/>
      <c r="I2" s="664"/>
      <c r="J2" s="664"/>
      <c r="K2" s="664"/>
      <c r="L2" s="664"/>
      <c r="M2" s="664"/>
      <c r="N2" s="664"/>
      <c r="O2" s="664"/>
      <c r="P2" s="664"/>
      <c r="Q2" s="664"/>
      <c r="R2" s="664"/>
      <c r="S2" s="664"/>
      <c r="T2" s="664"/>
      <c r="U2" s="664"/>
      <c r="V2" s="664"/>
      <c r="W2" s="664"/>
      <c r="X2" s="664"/>
      <c r="Y2" s="664"/>
      <c r="Z2" s="664"/>
      <c r="AA2" s="664"/>
      <c r="AB2" s="664"/>
      <c r="AC2" s="664"/>
      <c r="AD2" s="664"/>
      <c r="AE2" s="664"/>
      <c r="AF2" s="664"/>
      <c r="AG2" s="664"/>
      <c r="AH2" s="664"/>
      <c r="AI2" s="664"/>
      <c r="AJ2" s="665"/>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row>
    <row r="3" spans="1:68" x14ac:dyDescent="0.2">
      <c r="B3" s="285"/>
      <c r="AK3" s="27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c r="BJ3" s="273"/>
      <c r="BK3" s="273"/>
      <c r="BL3" s="273"/>
      <c r="BM3" s="273"/>
      <c r="BN3" s="273"/>
      <c r="BO3" s="273"/>
      <c r="BP3" s="273"/>
    </row>
    <row r="4" spans="1:68" ht="26.65" customHeight="1" x14ac:dyDescent="0.2">
      <c r="A4" s="286" t="s">
        <v>61</v>
      </c>
      <c r="B4" s="287"/>
      <c r="C4" s="288" t="s">
        <v>229</v>
      </c>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90"/>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row>
    <row r="5" spans="1:68" ht="30.4" customHeight="1" x14ac:dyDescent="0.2">
      <c r="A5" s="666" t="s">
        <v>62</v>
      </c>
      <c r="B5" s="667"/>
      <c r="C5" s="288" t="s">
        <v>230</v>
      </c>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90"/>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row>
    <row r="6" spans="1:68" ht="49.9" customHeight="1" x14ac:dyDescent="0.2">
      <c r="A6" s="668" t="s">
        <v>63</v>
      </c>
      <c r="B6" s="669"/>
      <c r="C6" s="670" t="s">
        <v>231</v>
      </c>
      <c r="D6" s="671"/>
      <c r="E6" s="671"/>
      <c r="F6" s="671"/>
      <c r="G6" s="671"/>
      <c r="H6" s="671"/>
      <c r="I6" s="671"/>
      <c r="J6" s="671"/>
      <c r="K6" s="671"/>
      <c r="L6" s="671"/>
      <c r="M6" s="671"/>
      <c r="N6" s="671"/>
      <c r="O6" s="671"/>
      <c r="P6" s="671"/>
      <c r="Q6" s="671"/>
      <c r="R6" s="671"/>
      <c r="S6" s="671"/>
      <c r="T6" s="671"/>
      <c r="U6" s="671"/>
      <c r="V6" s="671"/>
      <c r="W6" s="671"/>
      <c r="X6" s="671"/>
      <c r="Y6" s="671"/>
      <c r="Z6" s="671"/>
      <c r="AA6" s="671"/>
      <c r="AB6" s="671"/>
      <c r="AC6" s="671"/>
      <c r="AD6" s="671"/>
      <c r="AE6" s="671"/>
      <c r="AF6" s="671"/>
      <c r="AG6" s="671"/>
      <c r="AH6" s="671"/>
      <c r="AI6" s="671"/>
      <c r="AJ6" s="672"/>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8" ht="44.65" customHeight="1" x14ac:dyDescent="0.2">
      <c r="A7" s="613" t="s">
        <v>64</v>
      </c>
      <c r="B7" s="613"/>
      <c r="C7" s="613"/>
      <c r="D7" s="613"/>
      <c r="E7" s="613"/>
      <c r="F7" s="613"/>
      <c r="G7" s="613"/>
      <c r="H7" s="611" t="s">
        <v>65</v>
      </c>
      <c r="I7" s="611"/>
      <c r="J7" s="611"/>
      <c r="K7" s="611"/>
      <c r="L7" s="611"/>
      <c r="M7" s="611"/>
      <c r="N7" s="611"/>
      <c r="O7" s="613" t="s">
        <v>66</v>
      </c>
      <c r="P7" s="613"/>
      <c r="Q7" s="613"/>
      <c r="R7" s="613"/>
      <c r="S7" s="613"/>
      <c r="T7" s="613"/>
      <c r="U7" s="613"/>
      <c r="V7" s="613"/>
      <c r="W7" s="613"/>
      <c r="X7" s="611" t="s">
        <v>67</v>
      </c>
      <c r="Y7" s="611"/>
      <c r="Z7" s="611"/>
      <c r="AA7" s="611"/>
      <c r="AB7" s="611"/>
      <c r="AC7" s="611"/>
      <c r="AD7" s="611"/>
      <c r="AE7" s="613" t="s">
        <v>68</v>
      </c>
      <c r="AF7" s="613"/>
      <c r="AG7" s="613"/>
      <c r="AH7" s="613"/>
      <c r="AI7" s="613"/>
      <c r="AJ7" s="613"/>
      <c r="AK7" s="273"/>
      <c r="AL7" s="273"/>
      <c r="AM7" s="273"/>
      <c r="AN7" s="273"/>
      <c r="AO7" s="273"/>
      <c r="AP7" s="273"/>
      <c r="AQ7" s="273"/>
      <c r="AR7" s="273"/>
      <c r="AS7" s="273"/>
      <c r="AT7" s="273"/>
      <c r="AU7" s="273"/>
      <c r="AV7" s="273"/>
      <c r="AW7" s="273"/>
      <c r="AX7" s="273"/>
      <c r="AY7" s="273"/>
      <c r="AZ7" s="273"/>
      <c r="BA7" s="273"/>
      <c r="BB7" s="273"/>
      <c r="BC7" s="273"/>
      <c r="BD7" s="273"/>
      <c r="BE7" s="273"/>
      <c r="BF7" s="273"/>
      <c r="BG7" s="273"/>
      <c r="BH7" s="273"/>
      <c r="BI7" s="273"/>
      <c r="BJ7" s="273"/>
      <c r="BK7" s="273"/>
      <c r="BL7" s="273"/>
      <c r="BM7" s="273"/>
      <c r="BN7" s="273"/>
      <c r="BO7" s="273"/>
      <c r="BP7" s="273"/>
    </row>
    <row r="8" spans="1:68" ht="16.5" customHeight="1" x14ac:dyDescent="0.2">
      <c r="A8" s="614" t="s">
        <v>69</v>
      </c>
      <c r="B8" s="613" t="s">
        <v>15</v>
      </c>
      <c r="C8" s="615" t="s">
        <v>17</v>
      </c>
      <c r="D8" s="615" t="s">
        <v>19</v>
      </c>
      <c r="E8" s="615" t="s">
        <v>21</v>
      </c>
      <c r="F8" s="615" t="s">
        <v>23</v>
      </c>
      <c r="G8" s="615" t="s">
        <v>70</v>
      </c>
      <c r="H8" s="615" t="s">
        <v>71</v>
      </c>
      <c r="I8" s="613" t="s">
        <v>72</v>
      </c>
      <c r="J8" s="615" t="s">
        <v>73</v>
      </c>
      <c r="K8" s="615" t="s">
        <v>74</v>
      </c>
      <c r="L8" s="615" t="s">
        <v>75</v>
      </c>
      <c r="M8" s="613" t="s">
        <v>72</v>
      </c>
      <c r="N8" s="615" t="s">
        <v>29</v>
      </c>
      <c r="O8" s="612" t="s">
        <v>76</v>
      </c>
      <c r="P8" s="615" t="s">
        <v>31</v>
      </c>
      <c r="Q8" s="615" t="s">
        <v>33</v>
      </c>
      <c r="R8" s="615" t="s">
        <v>77</v>
      </c>
      <c r="S8" s="615"/>
      <c r="T8" s="615"/>
      <c r="U8" s="615"/>
      <c r="V8" s="615"/>
      <c r="W8" s="615"/>
      <c r="X8" s="612" t="s">
        <v>78</v>
      </c>
      <c r="Y8" s="612" t="s">
        <v>79</v>
      </c>
      <c r="Z8" s="612" t="s">
        <v>72</v>
      </c>
      <c r="AA8" s="612" t="s">
        <v>80</v>
      </c>
      <c r="AB8" s="612" t="s">
        <v>72</v>
      </c>
      <c r="AC8" s="612" t="s">
        <v>81</v>
      </c>
      <c r="AD8" s="612" t="s">
        <v>49</v>
      </c>
      <c r="AE8" s="615" t="s">
        <v>68</v>
      </c>
      <c r="AF8" s="615" t="s">
        <v>82</v>
      </c>
      <c r="AG8" s="615" t="s">
        <v>264</v>
      </c>
      <c r="AH8" s="615" t="s">
        <v>265</v>
      </c>
      <c r="AI8" s="615" t="s">
        <v>262</v>
      </c>
      <c r="AJ8" s="615" t="s">
        <v>263</v>
      </c>
      <c r="AK8" s="273"/>
      <c r="AL8" s="273"/>
      <c r="AM8" s="273"/>
      <c r="AN8" s="273"/>
      <c r="AO8" s="273"/>
      <c r="AP8" s="273"/>
      <c r="AQ8" s="273"/>
      <c r="AR8" s="273"/>
      <c r="AS8" s="273"/>
      <c r="AT8" s="273"/>
      <c r="AU8" s="273"/>
      <c r="AV8" s="273"/>
      <c r="AW8" s="273"/>
      <c r="AX8" s="273"/>
      <c r="AY8" s="273"/>
      <c r="AZ8" s="273"/>
      <c r="BA8" s="273"/>
      <c r="BB8" s="273"/>
      <c r="BC8" s="273"/>
      <c r="BD8" s="273"/>
      <c r="BE8" s="273"/>
      <c r="BF8" s="273"/>
      <c r="BG8" s="273"/>
      <c r="BH8" s="273"/>
      <c r="BI8" s="273"/>
      <c r="BJ8" s="273"/>
      <c r="BK8" s="273"/>
      <c r="BL8" s="273"/>
      <c r="BM8" s="273"/>
      <c r="BN8" s="273"/>
      <c r="BO8" s="273"/>
      <c r="BP8" s="273"/>
    </row>
    <row r="9" spans="1:68" s="277" customFormat="1" ht="75.400000000000006" customHeight="1" x14ac:dyDescent="0.25">
      <c r="A9" s="614"/>
      <c r="B9" s="613"/>
      <c r="C9" s="615"/>
      <c r="D9" s="615"/>
      <c r="E9" s="615"/>
      <c r="F9" s="615"/>
      <c r="G9" s="615"/>
      <c r="H9" s="615"/>
      <c r="I9" s="613"/>
      <c r="J9" s="615"/>
      <c r="K9" s="615"/>
      <c r="L9" s="613"/>
      <c r="M9" s="613"/>
      <c r="N9" s="615"/>
      <c r="O9" s="612"/>
      <c r="P9" s="615"/>
      <c r="Q9" s="615"/>
      <c r="R9" s="269" t="s">
        <v>83</v>
      </c>
      <c r="S9" s="269" t="s">
        <v>84</v>
      </c>
      <c r="T9" s="269" t="s">
        <v>85</v>
      </c>
      <c r="U9" s="269" t="s">
        <v>86</v>
      </c>
      <c r="V9" s="269" t="s">
        <v>87</v>
      </c>
      <c r="W9" s="269" t="s">
        <v>88</v>
      </c>
      <c r="X9" s="612"/>
      <c r="Y9" s="612"/>
      <c r="Z9" s="612"/>
      <c r="AA9" s="612"/>
      <c r="AB9" s="612"/>
      <c r="AC9" s="612"/>
      <c r="AD9" s="612"/>
      <c r="AE9" s="615"/>
      <c r="AF9" s="615"/>
      <c r="AG9" s="615"/>
      <c r="AH9" s="615"/>
      <c r="AI9" s="615"/>
      <c r="AJ9" s="615"/>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276"/>
      <c r="BK9" s="276"/>
      <c r="BL9" s="276"/>
      <c r="BM9" s="276"/>
      <c r="BN9" s="276"/>
      <c r="BO9" s="276"/>
      <c r="BP9" s="276"/>
    </row>
    <row r="10" spans="1:68" s="279" customFormat="1" ht="153.6" customHeight="1" x14ac:dyDescent="0.25">
      <c r="A10" s="673">
        <v>1</v>
      </c>
      <c r="B10" s="621" t="s">
        <v>320</v>
      </c>
      <c r="C10" s="683" t="s">
        <v>232</v>
      </c>
      <c r="D10" s="683" t="s">
        <v>233</v>
      </c>
      <c r="E10" s="621" t="s">
        <v>359</v>
      </c>
      <c r="F10" s="621" t="s">
        <v>101</v>
      </c>
      <c r="G10" s="624">
        <f>12*3</f>
        <v>36</v>
      </c>
      <c r="H10" s="690" t="str">
        <f>IF(G10&lt;=0,"",IF(G10&lt;=2,"Muy Baja",IF(G10&lt;=24,"Baja",IF(G10&lt;=500,"Media",IF(G10&lt;=5000,"Alta","Muy Alta")))))</f>
        <v>Media</v>
      </c>
      <c r="I10" s="684">
        <f>IF(H10="","",IF(H10="Muy Baja",0.2,IF(H10="Baja",0.4,IF(H10="Media",0.6,IF(H10="Alta",0.8,IF(H10="Muy Alta",1,))))))</f>
        <v>0.6</v>
      </c>
      <c r="J10" s="674" t="str">
        <f>IF(OR($B$10="Reputacional",$B$10="Económica"),VLOOKUP($L$10,'Tabla Impacto'!$B$4:$G$8,4,0),IF(AND($B$10="Reputacional y Económica"),VLOOKUP($L$10,'Tabla Impacto'!$B$4:$G$8,5,0),((VLOOKUP($L$10,'Tabla Impacto'!$B$4:$G$8,2,0)))))</f>
        <v>El Impacto se evalúo como Menor. El riesgo afecta la imagen de la entidad internamente, de conocimiento general, nivel interno, de junta dircetiva y accionistas y/o de provedores con una posible afectación entre 10 y 50 SMLMV.</v>
      </c>
      <c r="K10" s="674" t="str">
        <f>IF(OR($B$10="Reputacional",$B$10="Económica"),VLOOKUP($L$10,'Tabla Impacto'!$B$4:$G$8,4,0),IF(AND($B$10="Reputacional y Económica"),VLOOKUP($L$10,'Tabla Impacto'!$B$4:$G$8,5,0),((VLOOKUP($L$10,'Tabla Impacto'!$B$4:$G$8,2,0)))))</f>
        <v>El Impacto se evalúo como Menor. El riesgo afecta la imagen de la entidad internamente, de conocimiento general, nivel interno, de junta dircetiva y accionistas y/o de provedores con una posible afectación entre 10 y 50 SMLMV.</v>
      </c>
      <c r="L10" s="677" t="s">
        <v>140</v>
      </c>
      <c r="M10" s="684">
        <f>VLOOKUP(L10,'Tabla Impacto'!$B$4:$G$8,6,0)</f>
        <v>0.4</v>
      </c>
      <c r="N10" s="687"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227">
        <v>1</v>
      </c>
      <c r="P10" s="413" t="s">
        <v>463</v>
      </c>
      <c r="Q10" s="220" t="str">
        <f t="shared" ref="Q10:Q12" si="0">IF(OR(R10="Preventivo",R10="Detectivo"),"Probabilidad",IF(R10="Correctivo","Impacto",""))</f>
        <v>Probabilidad</v>
      </c>
      <c r="R10" s="221" t="s">
        <v>91</v>
      </c>
      <c r="S10" s="221" t="s">
        <v>92</v>
      </c>
      <c r="T10" s="222" t="str">
        <f t="shared" ref="T10:T12" si="1">IF(AND(R10="Preventivo",S10="Automático"),"50%",IF(AND(R10="Preventivo",S10="Manual"),"40%",IF(AND(R10="Detectivo",S10="Automático"),"40%",IF(AND(R10="Detectivo",S10="Manual"),"30%",IF(AND(R10="Correctivo",S10="Automático"),"35%",IF(AND(R10="Correctivo",S10="Manual"),"25%",""))))))</f>
        <v>40%</v>
      </c>
      <c r="U10" s="221" t="s">
        <v>93</v>
      </c>
      <c r="V10" s="221" t="s">
        <v>94</v>
      </c>
      <c r="W10" s="221" t="s">
        <v>95</v>
      </c>
      <c r="X10" s="223">
        <f>IFERROR(IF(Q10="Probabilidad",(I10-(+I10*T10)),IF(Q10="Impacto",I10,"")),"")</f>
        <v>0.36</v>
      </c>
      <c r="Y10" s="224" t="str">
        <f>IFERROR(IF(X10="","",IF(X10&lt;=0.2,"Muy Baja",IF(X10&lt;=0.4,"Baja",IF(X10&lt;=0.6,"Media",IF(X10&lt;=0.8,"Alta","Muy Alta"))))),"")</f>
        <v>Baja</v>
      </c>
      <c r="Z10" s="222">
        <f t="shared" ref="Z10:Z12" si="2">+X10</f>
        <v>0.36</v>
      </c>
      <c r="AA10" s="224" t="str">
        <f>IFERROR(IF(AB10="","",IF(AB10&lt;=0.2,"Leve",IF(AB10&lt;=0.4,"Menor",IF(AB10&lt;=0.6,"Moderado",IF(AB10&lt;=0.8,"Mayor","Catastrófico"))))),"")</f>
        <v>Menor</v>
      </c>
      <c r="AB10" s="222">
        <f>IFERROR(IF(Q10="Impacto",(M10-(+M10*T10)),IF(Q10="Probabilidad",M10,"")),"")</f>
        <v>0.4</v>
      </c>
      <c r="AC10" s="225" t="str">
        <f t="shared" ref="AC10:AC12"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221" t="s">
        <v>102</v>
      </c>
      <c r="AE10" s="232" t="str">
        <f>MID(P10,92,400)</f>
        <v xml:space="preserve"> realizan el control a la consulta y préstamo de documentos y/o expedientes de acuerdo a los establecido en el procedimiento y acorde con los principios de seguridad de información (disponibilidad, integridad y confidencialidad).</v>
      </c>
      <c r="AF10" s="232" t="s">
        <v>270</v>
      </c>
      <c r="AG10" s="232" t="s">
        <v>399</v>
      </c>
      <c r="AH10" s="232" t="str">
        <f>AG10</f>
        <v>Enero a diciembre de 2026</v>
      </c>
      <c r="AI10" s="226" t="s">
        <v>271</v>
      </c>
      <c r="AJ10" s="226" t="s">
        <v>271</v>
      </c>
      <c r="AK10" s="291"/>
      <c r="AL10" s="291"/>
      <c r="AM10" s="291"/>
      <c r="AN10" s="291"/>
      <c r="AO10" s="291"/>
      <c r="AP10" s="291"/>
      <c r="AQ10" s="291"/>
      <c r="AR10" s="291"/>
      <c r="AS10" s="291"/>
      <c r="AT10" s="291"/>
      <c r="AU10" s="291"/>
      <c r="AV10" s="291"/>
      <c r="AW10" s="291"/>
      <c r="AX10" s="291"/>
      <c r="AY10" s="291"/>
      <c r="AZ10" s="291"/>
      <c r="BA10" s="291"/>
      <c r="BB10" s="291"/>
      <c r="BC10" s="291"/>
      <c r="BD10" s="291"/>
      <c r="BE10" s="291"/>
      <c r="BF10" s="291"/>
      <c r="BG10" s="291"/>
      <c r="BH10" s="291"/>
      <c r="BI10" s="291"/>
      <c r="BJ10" s="291"/>
      <c r="BK10" s="291"/>
      <c r="BL10" s="291"/>
      <c r="BM10" s="291"/>
      <c r="BN10" s="291"/>
      <c r="BO10" s="291"/>
      <c r="BP10" s="291"/>
    </row>
    <row r="11" spans="1:68" ht="109.35" customHeight="1" x14ac:dyDescent="0.2">
      <c r="A11" s="673"/>
      <c r="B11" s="621"/>
      <c r="C11" s="683"/>
      <c r="D11" s="683"/>
      <c r="E11" s="621"/>
      <c r="F11" s="621"/>
      <c r="G11" s="624"/>
      <c r="H11" s="691"/>
      <c r="I11" s="685"/>
      <c r="J11" s="675"/>
      <c r="K11" s="675"/>
      <c r="L11" s="678"/>
      <c r="M11" s="685"/>
      <c r="N11" s="688"/>
      <c r="O11" s="227">
        <v>2</v>
      </c>
      <c r="P11" s="284" t="s">
        <v>358</v>
      </c>
      <c r="Q11" s="220" t="str">
        <f t="shared" si="0"/>
        <v>Probabilidad</v>
      </c>
      <c r="R11" s="221" t="s">
        <v>97</v>
      </c>
      <c r="S11" s="221" t="s">
        <v>92</v>
      </c>
      <c r="T11" s="222" t="str">
        <f t="shared" si="1"/>
        <v>30%</v>
      </c>
      <c r="U11" s="221" t="s">
        <v>93</v>
      </c>
      <c r="V11" s="221" t="s">
        <v>99</v>
      </c>
      <c r="W11" s="221" t="s">
        <v>95</v>
      </c>
      <c r="X11" s="223">
        <f>IFERROR(IF(AND(Q10="Probabilidad",Q11="Probabilidad"),(Z10-(+Z10*T11)),IF(Q11="Probabilidad",(I10-(+I10*T11)),IF(Q11="Impacto",Z10,""))),"")</f>
        <v>0.252</v>
      </c>
      <c r="Y11" s="224" t="str">
        <f t="shared" ref="Y11:Y12" si="4">IFERROR(IF(X11="","",IF(X11&lt;=0.2,"Muy Baja",IF(X11&lt;=0.4,"Baja",IF(X11&lt;=0.6,"Media",IF(X11&lt;=0.8,"Alta","Muy Alta"))))),"")</f>
        <v>Baja</v>
      </c>
      <c r="Z11" s="222">
        <f t="shared" si="2"/>
        <v>0.252</v>
      </c>
      <c r="AA11" s="224" t="str">
        <f t="shared" ref="AA11:AA12" si="5">IFERROR(IF(AB11="","",IF(AB11&lt;=0.2,"Leve",IF(AB11&lt;=0.4,"Menor",IF(AB11&lt;=0.6,"Moderado",IF(AB11&lt;=0.8,"Mayor","Catastrófico"))))),"")</f>
        <v>Menor</v>
      </c>
      <c r="AB11" s="222">
        <f>IFERROR(IF(AND(Q10="Impacto",Q11="Impacto"),(AB10-(+AB10*T11)),IF(Q11="Impacto",($M$10-(+$M$10*T11)),IF(Q11="Probabilidad",AB10,""))),"")</f>
        <v>0.4</v>
      </c>
      <c r="AC11" s="225" t="str">
        <f t="shared" si="3"/>
        <v>Moderado</v>
      </c>
      <c r="AD11" s="221" t="s">
        <v>181</v>
      </c>
      <c r="AE11" s="354" t="str">
        <f>MID(P11,72,400)</f>
        <v>realiza procesos de socialización con los jefes, secretarias y servidores públicos sobre el uso de Orfeo y políticas de confidencialidad de la información, dondes se evalúa la apropiación de los conocimientos adquiridos.</v>
      </c>
      <c r="AF11" s="232" t="s">
        <v>270</v>
      </c>
      <c r="AG11" s="232" t="s">
        <v>399</v>
      </c>
      <c r="AH11" s="354" t="str">
        <f t="shared" ref="AH11:AH14" si="6">AG11</f>
        <v>Enero a diciembre de 2026</v>
      </c>
      <c r="AI11" s="232" t="s">
        <v>303</v>
      </c>
      <c r="AJ11" s="232" t="s">
        <v>272</v>
      </c>
      <c r="AK11" s="273"/>
      <c r="AL11" s="273"/>
      <c r="AM11" s="273"/>
      <c r="AN11" s="273"/>
      <c r="AO11" s="273"/>
      <c r="AP11" s="273"/>
      <c r="AQ11" s="273"/>
      <c r="AR11" s="273"/>
      <c r="AS11" s="273"/>
      <c r="AT11" s="273"/>
      <c r="AU11" s="273"/>
      <c r="AV11" s="273"/>
      <c r="AW11" s="273"/>
      <c r="AX11" s="273"/>
      <c r="AY11" s="273"/>
      <c r="AZ11" s="273"/>
      <c r="BA11" s="273"/>
      <c r="BB11" s="273"/>
      <c r="BC11" s="273"/>
      <c r="BD11" s="273"/>
      <c r="BE11" s="273"/>
      <c r="BF11" s="273"/>
      <c r="BG11" s="273"/>
      <c r="BH11" s="273"/>
      <c r="BI11" s="273"/>
      <c r="BJ11" s="273"/>
      <c r="BK11" s="273"/>
      <c r="BL11" s="273"/>
      <c r="BM11" s="273"/>
      <c r="BN11" s="273"/>
      <c r="BO11" s="273"/>
      <c r="BP11" s="273"/>
    </row>
    <row r="12" spans="1:68" ht="120.4" customHeight="1" x14ac:dyDescent="0.2">
      <c r="A12" s="673"/>
      <c r="B12" s="621"/>
      <c r="C12" s="683"/>
      <c r="D12" s="683"/>
      <c r="E12" s="621"/>
      <c r="F12" s="621"/>
      <c r="G12" s="624"/>
      <c r="H12" s="691"/>
      <c r="I12" s="685"/>
      <c r="J12" s="675"/>
      <c r="K12" s="675"/>
      <c r="L12" s="678"/>
      <c r="M12" s="685"/>
      <c r="N12" s="688"/>
      <c r="O12" s="227">
        <v>3</v>
      </c>
      <c r="P12" s="413" t="s">
        <v>461</v>
      </c>
      <c r="Q12" s="220" t="str">
        <f t="shared" si="0"/>
        <v>Impacto</v>
      </c>
      <c r="R12" s="221" t="s">
        <v>98</v>
      </c>
      <c r="S12" s="221" t="s">
        <v>92</v>
      </c>
      <c r="T12" s="222" t="str">
        <f t="shared" si="1"/>
        <v>25%</v>
      </c>
      <c r="U12" s="221" t="s">
        <v>93</v>
      </c>
      <c r="V12" s="221" t="s">
        <v>94</v>
      </c>
      <c r="W12" s="221" t="s">
        <v>95</v>
      </c>
      <c r="X12" s="223">
        <f>IFERROR(IF(AND(Q11="Probabilidad",Q12="Probabilidad"),(Z11-(+Z11*T12)),IF(AND(Q11="Impacto",Q12="Probabilidad"),(Z10-(+Z10*T12)),IF(Q12="Impacto",Z11,""))),"")</f>
        <v>0.252</v>
      </c>
      <c r="Y12" s="224" t="str">
        <f t="shared" si="4"/>
        <v>Baja</v>
      </c>
      <c r="Z12" s="222">
        <f t="shared" si="2"/>
        <v>0.252</v>
      </c>
      <c r="AA12" s="224" t="str">
        <f t="shared" si="5"/>
        <v>Menor</v>
      </c>
      <c r="AB12" s="222">
        <f>IFERROR(IF(AND(Q11="Impacto",Q12="Impacto"),(AB11-(+AB11*T12)),IF(AND(Q11="Probabilidad",Q12="Impacto"),(AB10-(+AB10*T12)),IF(Q12="Probabilidad",AB11,""))),"")</f>
        <v>0.30000000000000004</v>
      </c>
      <c r="AC12" s="225" t="str">
        <f t="shared" si="3"/>
        <v>Moderado</v>
      </c>
      <c r="AD12" s="221" t="s">
        <v>102</v>
      </c>
      <c r="AE12" s="354" t="str">
        <f>MID(P12,99,400)</f>
        <v>verifica y ajusta los perfiles de los estudios previos, se encuentren de acuerdo con los criterios de selección idónea del personal de la dependencia.</v>
      </c>
      <c r="AF12" s="232" t="s">
        <v>270</v>
      </c>
      <c r="AG12" s="232" t="s">
        <v>399</v>
      </c>
      <c r="AH12" s="354" t="str">
        <f t="shared" si="6"/>
        <v>Enero a diciembre de 2026</v>
      </c>
      <c r="AI12" s="232" t="s">
        <v>285</v>
      </c>
      <c r="AJ12" s="232" t="s">
        <v>268</v>
      </c>
      <c r="AK12" s="273"/>
      <c r="AL12" s="273"/>
      <c r="AM12" s="273"/>
      <c r="AN12" s="273"/>
      <c r="AO12" s="273"/>
      <c r="AP12" s="273"/>
      <c r="AQ12" s="273"/>
      <c r="AR12" s="273"/>
      <c r="AS12" s="273"/>
      <c r="AT12" s="273"/>
      <c r="AU12" s="273"/>
      <c r="AV12" s="273"/>
      <c r="AW12" s="273"/>
      <c r="AX12" s="273"/>
      <c r="AY12" s="273"/>
      <c r="AZ12" s="273"/>
      <c r="BA12" s="273"/>
      <c r="BB12" s="273"/>
      <c r="BC12" s="273"/>
      <c r="BD12" s="273"/>
      <c r="BE12" s="273"/>
      <c r="BF12" s="273"/>
      <c r="BG12" s="273"/>
      <c r="BH12" s="273"/>
      <c r="BI12" s="273"/>
      <c r="BJ12" s="273"/>
      <c r="BK12" s="273"/>
      <c r="BL12" s="273"/>
      <c r="BM12" s="273"/>
      <c r="BN12" s="273"/>
      <c r="BO12" s="273"/>
      <c r="BP12" s="273"/>
    </row>
    <row r="13" spans="1:68" ht="124.15" customHeight="1" x14ac:dyDescent="0.2">
      <c r="A13" s="231"/>
      <c r="B13" s="621"/>
      <c r="C13" s="683"/>
      <c r="D13" s="683"/>
      <c r="E13" s="621"/>
      <c r="F13" s="621"/>
      <c r="G13" s="624"/>
      <c r="H13" s="691"/>
      <c r="I13" s="685"/>
      <c r="J13" s="675"/>
      <c r="K13" s="675"/>
      <c r="L13" s="678"/>
      <c r="M13" s="685"/>
      <c r="N13" s="688"/>
      <c r="O13" s="227">
        <v>4</v>
      </c>
      <c r="P13" s="412" t="s">
        <v>459</v>
      </c>
      <c r="Q13" s="220" t="str">
        <f t="shared" ref="Q13:Q14" si="7">IF(OR(R13="Preventivo",R13="Detectivo"),"Probabilidad",IF(R13="Correctivo","Impacto",""))</f>
        <v>Impacto</v>
      </c>
      <c r="R13" s="221" t="s">
        <v>98</v>
      </c>
      <c r="S13" s="221" t="s">
        <v>92</v>
      </c>
      <c r="T13" s="222" t="str">
        <f t="shared" ref="T13:T14" si="8">IF(AND(R13="Preventivo",S13="Automático"),"50%",IF(AND(R13="Preventivo",S13="Manual"),"40%",IF(AND(R13="Detectivo",S13="Automático"),"40%",IF(AND(R13="Detectivo",S13="Manual"),"30%",IF(AND(R13="Correctivo",S13="Automático"),"35%",IF(AND(R13="Correctivo",S13="Manual"),"25%",""))))))</f>
        <v>25%</v>
      </c>
      <c r="U13" s="221" t="s">
        <v>93</v>
      </c>
      <c r="V13" s="221" t="s">
        <v>94</v>
      </c>
      <c r="W13" s="221" t="s">
        <v>95</v>
      </c>
      <c r="X13" s="223">
        <f t="shared" ref="X13:X14" si="9">IFERROR(IF(AND(Q12="Probabilidad",Q13="Probabilidad"),(Z12-(+Z12*T13)),IF(AND(Q12="Impacto",Q13="Probabilidad"),(Z11-(+Z11*T13)),IF(Q13="Impacto",Z12,""))),"")</f>
        <v>0.252</v>
      </c>
      <c r="Y13" s="224" t="str">
        <f t="shared" ref="Y13:Y14" si="10">IFERROR(IF(X13="","",IF(X13&lt;=0.2,"Muy Baja",IF(X13&lt;=0.4,"Baja",IF(X13&lt;=0.6,"Media",IF(X13&lt;=0.8,"Alta","Muy Alta"))))),"")</f>
        <v>Baja</v>
      </c>
      <c r="Z13" s="222">
        <f t="shared" ref="Z13:Z14" si="11">+X13</f>
        <v>0.252</v>
      </c>
      <c r="AA13" s="224" t="str">
        <f t="shared" ref="AA13:AA14" si="12">IFERROR(IF(AB13="","",IF(AB13&lt;=0.2,"Leve",IF(AB13&lt;=0.4,"Menor",IF(AB13&lt;=0.6,"Moderado",IF(AB13&lt;=0.8,"Mayor","Catastrófico"))))),"")</f>
        <v>Menor</v>
      </c>
      <c r="AB13" s="222">
        <f t="shared" ref="AB13:AB14" si="13">IFERROR(IF(AND(Q12="Impacto",Q13="Impacto"),(AB12-(+AB12*T13)),IF(AND(Q12="Probabilidad",Q13="Impacto"),(AB11-(+AB11*T13)),IF(Q13="Probabilidad",AB12,""))),"")</f>
        <v>0.22500000000000003</v>
      </c>
      <c r="AC13" s="225" t="str">
        <f t="shared" ref="AC13:AC14" si="14">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Moderado</v>
      </c>
      <c r="AD13" s="221" t="s">
        <v>102</v>
      </c>
      <c r="AE13" s="354" t="str">
        <f>MID(P13,89,400)</f>
        <v>gestionan y verifican que se establezcan dos fichas tecnicas dentro del manual de funciones para contar con recurso humano de planta que reduzca el riesgo de perdida de memoria institucional</v>
      </c>
      <c r="AF13" s="232" t="s">
        <v>270</v>
      </c>
      <c r="AG13" s="232" t="s">
        <v>400</v>
      </c>
      <c r="AH13" s="354" t="str">
        <f t="shared" si="6"/>
        <v>Mayo a diciembre de 2026</v>
      </c>
      <c r="AI13" s="232" t="s">
        <v>401</v>
      </c>
      <c r="AJ13" s="232" t="s">
        <v>268</v>
      </c>
      <c r="AK13" s="273"/>
      <c r="AL13" s="273"/>
      <c r="AM13" s="273"/>
      <c r="AN13" s="273"/>
      <c r="AO13" s="273"/>
      <c r="AP13" s="273"/>
      <c r="AQ13" s="273"/>
      <c r="AR13" s="273"/>
      <c r="AS13" s="273"/>
      <c r="AT13" s="273"/>
      <c r="AU13" s="273"/>
      <c r="AV13" s="273"/>
      <c r="AW13" s="273"/>
      <c r="AX13" s="273"/>
      <c r="AY13" s="273"/>
      <c r="AZ13" s="273"/>
      <c r="BA13" s="273"/>
      <c r="BB13" s="273"/>
      <c r="BC13" s="273"/>
      <c r="BD13" s="273"/>
      <c r="BE13" s="273"/>
      <c r="BF13" s="273"/>
      <c r="BG13" s="273"/>
      <c r="BH13" s="273"/>
      <c r="BI13" s="273"/>
      <c r="BJ13" s="273"/>
      <c r="BK13" s="273"/>
      <c r="BL13" s="273"/>
      <c r="BM13" s="273"/>
      <c r="BN13" s="273"/>
      <c r="BO13" s="273"/>
      <c r="BP13" s="273"/>
    </row>
    <row r="14" spans="1:68" ht="169.15" customHeight="1" x14ac:dyDescent="0.2">
      <c r="A14" s="161"/>
      <c r="B14" s="621"/>
      <c r="C14" s="683"/>
      <c r="D14" s="683"/>
      <c r="E14" s="621"/>
      <c r="F14" s="621"/>
      <c r="G14" s="624"/>
      <c r="H14" s="692"/>
      <c r="I14" s="686"/>
      <c r="J14" s="676"/>
      <c r="K14" s="676"/>
      <c r="L14" s="679"/>
      <c r="M14" s="686"/>
      <c r="N14" s="689"/>
      <c r="O14" s="227">
        <v>5</v>
      </c>
      <c r="P14" s="412" t="s">
        <v>460</v>
      </c>
      <c r="Q14" s="220" t="str">
        <f t="shared" si="7"/>
        <v>Impacto</v>
      </c>
      <c r="R14" s="221" t="s">
        <v>98</v>
      </c>
      <c r="S14" s="221" t="s">
        <v>92</v>
      </c>
      <c r="T14" s="222" t="str">
        <f t="shared" si="8"/>
        <v>25%</v>
      </c>
      <c r="U14" s="221" t="s">
        <v>93</v>
      </c>
      <c r="V14" s="221" t="s">
        <v>94</v>
      </c>
      <c r="W14" s="221" t="s">
        <v>95</v>
      </c>
      <c r="X14" s="223">
        <f t="shared" si="9"/>
        <v>0.252</v>
      </c>
      <c r="Y14" s="224" t="str">
        <f t="shared" si="10"/>
        <v>Baja</v>
      </c>
      <c r="Z14" s="222">
        <f t="shared" si="11"/>
        <v>0.252</v>
      </c>
      <c r="AA14" s="224" t="str">
        <f t="shared" si="12"/>
        <v>Leve</v>
      </c>
      <c r="AB14" s="222">
        <f t="shared" si="13"/>
        <v>0.16875000000000001</v>
      </c>
      <c r="AC14" s="225" t="str">
        <f t="shared" si="14"/>
        <v>Bajo</v>
      </c>
      <c r="AD14" s="221" t="s">
        <v>102</v>
      </c>
      <c r="AE14" s="354" t="str">
        <f>MID(P14,203,400)</f>
        <v>verifican que se implementen los lineamientos establecidos por el AGN conforme con el acuerdo No 001 de 2024 en lo referente a la documentación electrónica y preservación digital.</v>
      </c>
      <c r="AF14" s="232" t="s">
        <v>270</v>
      </c>
      <c r="AG14" s="232" t="s">
        <v>426</v>
      </c>
      <c r="AH14" s="354" t="str">
        <f t="shared" si="6"/>
        <v>Julio a diciembre de 2026</v>
      </c>
      <c r="AI14" s="232" t="s">
        <v>398</v>
      </c>
      <c r="AJ14" s="232" t="s">
        <v>268</v>
      </c>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row>
    <row r="15" spans="1:68" ht="49.9" customHeight="1" x14ac:dyDescent="0.2">
      <c r="A15" s="292"/>
      <c r="B15" s="680" t="s">
        <v>423</v>
      </c>
      <c r="C15" s="681"/>
      <c r="D15" s="681"/>
      <c r="E15" s="681"/>
      <c r="F15" s="681"/>
      <c r="G15" s="681"/>
      <c r="H15" s="681"/>
      <c r="I15" s="681"/>
      <c r="J15" s="681"/>
      <c r="K15" s="681"/>
      <c r="L15" s="681"/>
      <c r="M15" s="681"/>
      <c r="N15" s="681"/>
      <c r="O15" s="681"/>
      <c r="P15" s="681"/>
      <c r="Q15" s="681"/>
      <c r="R15" s="681"/>
      <c r="S15" s="681"/>
      <c r="T15" s="681"/>
      <c r="U15" s="681"/>
      <c r="V15" s="681"/>
      <c r="W15" s="681"/>
      <c r="X15" s="681"/>
      <c r="Y15" s="681"/>
      <c r="Z15" s="681"/>
      <c r="AA15" s="681"/>
      <c r="AB15" s="681"/>
      <c r="AC15" s="681"/>
      <c r="AD15" s="681"/>
      <c r="AE15" s="681"/>
      <c r="AF15" s="681"/>
      <c r="AG15" s="681"/>
      <c r="AH15" s="681"/>
      <c r="AI15" s="681"/>
      <c r="AJ15" s="682"/>
    </row>
    <row r="16" spans="1:68" x14ac:dyDescent="0.2">
      <c r="P16" s="293"/>
    </row>
    <row r="17" spans="2:2" s="274" customFormat="1" ht="15" x14ac:dyDescent="0.2">
      <c r="B17" s="283" t="s">
        <v>106</v>
      </c>
    </row>
  </sheetData>
  <dataConsolidate/>
  <mergeCells count="55">
    <mergeCell ref="P8:P9"/>
    <mergeCell ref="Q8:Q9"/>
    <mergeCell ref="R8:W8"/>
    <mergeCell ref="X8:X9"/>
    <mergeCell ref="B15:AJ15"/>
    <mergeCell ref="C10:C14"/>
    <mergeCell ref="B10:B14"/>
    <mergeCell ref="D10:D14"/>
    <mergeCell ref="E10:E14"/>
    <mergeCell ref="F10:F14"/>
    <mergeCell ref="G10:G14"/>
    <mergeCell ref="M10:M14"/>
    <mergeCell ref="N10:N14"/>
    <mergeCell ref="H10:H14"/>
    <mergeCell ref="J10:J14"/>
    <mergeCell ref="I10:I14"/>
    <mergeCell ref="K8:K9"/>
    <mergeCell ref="L8:L9"/>
    <mergeCell ref="M8:M9"/>
    <mergeCell ref="N8:N9"/>
    <mergeCell ref="A10:A12"/>
    <mergeCell ref="K10:K14"/>
    <mergeCell ref="L10:L14"/>
    <mergeCell ref="AE8:AE9"/>
    <mergeCell ref="AF8:AF9"/>
    <mergeCell ref="A6:B6"/>
    <mergeCell ref="A7:G7"/>
    <mergeCell ref="H7:N7"/>
    <mergeCell ref="O7:W7"/>
    <mergeCell ref="C6:AJ6"/>
    <mergeCell ref="AA8:AA9"/>
    <mergeCell ref="AH8:AH9"/>
    <mergeCell ref="AI8:AI9"/>
    <mergeCell ref="AJ8:AJ9"/>
    <mergeCell ref="AD8:AD9"/>
    <mergeCell ref="AB8:AB9"/>
    <mergeCell ref="AC8:AC9"/>
    <mergeCell ref="Y8:Y9"/>
    <mergeCell ref="J8:J9"/>
    <mergeCell ref="A1:AJ2"/>
    <mergeCell ref="A5:B5"/>
    <mergeCell ref="X7:AD7"/>
    <mergeCell ref="O8:O9"/>
    <mergeCell ref="AE7:AJ7"/>
    <mergeCell ref="A8:A9"/>
    <mergeCell ref="B8:B9"/>
    <mergeCell ref="C8:C9"/>
    <mergeCell ref="D8:D9"/>
    <mergeCell ref="E8:E9"/>
    <mergeCell ref="F8:F9"/>
    <mergeCell ref="G8:G9"/>
    <mergeCell ref="H8:H9"/>
    <mergeCell ref="I8:I9"/>
    <mergeCell ref="AG8:AG9"/>
    <mergeCell ref="Z8:Z9"/>
  </mergeCells>
  <conditionalFormatting sqref="H10">
    <cfRule type="cellIs" dxfId="258" priority="233" operator="equal">
      <formula>"Muy Alta"</formula>
    </cfRule>
    <cfRule type="cellIs" dxfId="257" priority="234" operator="equal">
      <formula>"Alta"</formula>
    </cfRule>
    <cfRule type="cellIs" dxfId="256" priority="235" operator="equal">
      <formula>"Media"</formula>
    </cfRule>
    <cfRule type="cellIs" dxfId="255" priority="236" operator="equal">
      <formula>"Baja"</formula>
    </cfRule>
    <cfRule type="cellIs" dxfId="254" priority="237" operator="equal">
      <formula>"Muy Baja"</formula>
    </cfRule>
  </conditionalFormatting>
  <conditionalFormatting sqref="L10">
    <cfRule type="cellIs" dxfId="253" priority="2" operator="equal">
      <formula>"Catastrófico"</formula>
    </cfRule>
    <cfRule type="cellIs" dxfId="252" priority="3" operator="equal">
      <formula>"Mayor"</formula>
    </cfRule>
    <cfRule type="cellIs" dxfId="251" priority="4" operator="equal">
      <formula>"Moderado"</formula>
    </cfRule>
    <cfRule type="cellIs" dxfId="250" priority="5" operator="equal">
      <formula>"Menor"</formula>
    </cfRule>
    <cfRule type="cellIs" dxfId="249" priority="6" operator="equal">
      <formula>"Leve"</formula>
    </cfRule>
  </conditionalFormatting>
  <conditionalFormatting sqref="M10">
    <cfRule type="containsText" dxfId="248" priority="1" operator="containsText" text="❌">
      <formula>NOT(ISERROR(SEARCH("❌",M10)))</formula>
    </cfRule>
  </conditionalFormatting>
  <conditionalFormatting sqref="N10">
    <cfRule type="cellIs" dxfId="247" priority="224" operator="equal">
      <formula>"Extremo"</formula>
    </cfRule>
    <cfRule type="cellIs" dxfId="246" priority="225" operator="equal">
      <formula>"Alto"</formula>
    </cfRule>
    <cfRule type="cellIs" dxfId="245" priority="226" operator="equal">
      <formula>"Moderado"</formula>
    </cfRule>
    <cfRule type="cellIs" dxfId="244" priority="227" operator="equal">
      <formula>"Bajo"</formula>
    </cfRule>
  </conditionalFormatting>
  <conditionalFormatting sqref="Y10:Y14">
    <cfRule type="cellIs" dxfId="243" priority="219" operator="equal">
      <formula>"Muy Alta"</formula>
    </cfRule>
    <cfRule type="cellIs" dxfId="242" priority="220" operator="equal">
      <formula>"Alta"</formula>
    </cfRule>
    <cfRule type="cellIs" dxfId="241" priority="221" operator="equal">
      <formula>"Media"</formula>
    </cfRule>
    <cfRule type="cellIs" dxfId="240" priority="222" operator="equal">
      <formula>"Baja"</formula>
    </cfRule>
    <cfRule type="cellIs" dxfId="239" priority="223" operator="equal">
      <formula>"Muy Baja"</formula>
    </cfRule>
  </conditionalFormatting>
  <conditionalFormatting sqref="AA10:AA14">
    <cfRule type="cellIs" dxfId="238" priority="214" operator="equal">
      <formula>"Catastrófico"</formula>
    </cfRule>
    <cfRule type="cellIs" dxfId="237" priority="215" operator="equal">
      <formula>"Mayor"</formula>
    </cfRule>
    <cfRule type="cellIs" dxfId="236" priority="216" operator="equal">
      <formula>"Moderado"</formula>
    </cfRule>
    <cfRule type="cellIs" dxfId="235" priority="217" operator="equal">
      <formula>"Menor"</formula>
    </cfRule>
    <cfRule type="cellIs" dxfId="234" priority="218" operator="equal">
      <formula>"Leve"</formula>
    </cfRule>
  </conditionalFormatting>
  <conditionalFormatting sqref="AC10:AC14">
    <cfRule type="cellIs" dxfId="233" priority="210" operator="equal">
      <formula>"Extremo"</formula>
    </cfRule>
    <cfRule type="cellIs" dxfId="232" priority="211" operator="equal">
      <formula>"Alto"</formula>
    </cfRule>
    <cfRule type="cellIs" dxfId="231" priority="212" operator="equal">
      <formula>"Moderado"</formula>
    </cfRule>
    <cfRule type="cellIs" dxfId="230" priority="213"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503EE874-9193-43E8-927F-6A06D460CE27}">
          <x14:formula1>
            <xm:f>'Tabla Valoración controles'!$D$13:$D$14</xm:f>
          </x14:formula1>
          <xm:sqref>W10:W14</xm:sqref>
        </x14:dataValidation>
        <x14:dataValidation type="list" allowBlank="1" showInputMessage="1" showErrorMessage="1" xr:uid="{773C15E8-024D-4118-B557-B98EF921A80A}">
          <x14:formula1>
            <xm:f>'Tabla Valoración controles'!$D$11:$D$12</xm:f>
          </x14:formula1>
          <xm:sqref>V10:V14</xm:sqref>
        </x14:dataValidation>
        <x14:dataValidation type="list" allowBlank="1" showInputMessage="1" showErrorMessage="1" xr:uid="{5E1E912C-5A06-46C4-82A4-9774024ACDB1}">
          <x14:formula1>
            <xm:f>'Tabla Valoración controles'!$D$9:$D$10</xm:f>
          </x14:formula1>
          <xm:sqref>U10:U14</xm:sqref>
        </x14:dataValidation>
        <x14:dataValidation type="list" allowBlank="1" showInputMessage="1" showErrorMessage="1" xr:uid="{514F8667-39E8-4E0A-8785-8A3C2AA1AF55}">
          <x14:formula1>
            <xm:f>'Tabla Valoración controles'!$D$7:$D$8</xm:f>
          </x14:formula1>
          <xm:sqref>S10:S14</xm:sqref>
        </x14:dataValidation>
        <x14:dataValidation type="list" allowBlank="1" showInputMessage="1" showErrorMessage="1" xr:uid="{BA4D795B-3794-4E97-9E51-187249DC6450}">
          <x14:formula1>
            <xm:f>'Tabla Valoración controles'!$D$4:$D$6</xm:f>
          </x14:formula1>
          <xm:sqref>R10:R14</xm:sqref>
        </x14:dataValidation>
        <x14:dataValidation type="list" allowBlank="1" showInputMessage="1" showErrorMessage="1" xr:uid="{E21FA63A-866C-4F7C-AC90-1DBFF29D1B83}">
          <x14:formula1>
            <xm:f>'Tabla Impacto'!$B$3:$B$8</xm:f>
          </x14:formula1>
          <xm:sqref>L10</xm:sqref>
        </x14:dataValidation>
        <x14:dataValidation type="list" allowBlank="1" showInputMessage="1" showErrorMessage="1" xr:uid="{F93E9C05-B093-4897-B806-7DA86621E4E1}">
          <x14:formula1>
            <xm:f>'Tabla Impacto'!$I$3:$I$8</xm:f>
          </x14:formula1>
          <xm:sqref>B10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tabColor rgb="FF00B050"/>
  </sheetPr>
  <dimension ref="A1:BP16"/>
  <sheetViews>
    <sheetView topLeftCell="D10" zoomScale="80" zoomScaleNormal="80" workbookViewId="0">
      <selection activeCell="D10" sqref="D10"/>
    </sheetView>
  </sheetViews>
  <sheetFormatPr baseColWidth="10" defaultColWidth="11.28515625" defaultRowHeight="16.5" x14ac:dyDescent="0.3"/>
  <cols>
    <col min="1" max="1" width="4.140625" style="2" bestFit="1" customWidth="1"/>
    <col min="2" max="2" width="14.140625" style="2" customWidth="1"/>
    <col min="3" max="3" width="17.28515625" style="2" customWidth="1"/>
    <col min="4" max="4" width="24.85546875" style="2" customWidth="1"/>
    <col min="5" max="5" width="31.28515625" style="1" customWidth="1"/>
    <col min="6" max="6" width="19" style="5" customWidth="1"/>
    <col min="7" max="7" width="17.85546875" style="1" customWidth="1"/>
    <col min="8" max="8" width="16.28515625" style="1" customWidth="1"/>
    <col min="9" max="9" width="6.28515625" style="1" customWidth="1"/>
    <col min="10" max="10" width="22" style="1" customWidth="1"/>
    <col min="11" max="11" width="30.28515625" style="1" customWidth="1"/>
    <col min="12" max="12" width="17.28515625" style="1" customWidth="1"/>
    <col min="13" max="13" width="7.140625" style="1" customWidth="1"/>
    <col min="14" max="14" width="16" style="1" customWidth="1"/>
    <col min="15" max="15" width="5.85546875" style="1" customWidth="1"/>
    <col min="16" max="16" width="57" style="1" customWidth="1"/>
    <col min="17" max="17" width="15.140625" style="1" bestFit="1" customWidth="1"/>
    <col min="18" max="18" width="6.85546875" style="1" customWidth="1"/>
    <col min="19" max="19" width="5" style="1" customWidth="1"/>
    <col min="20" max="20" width="5.28515625" style="1" customWidth="1"/>
    <col min="21" max="21" width="7.140625" style="1" customWidth="1"/>
    <col min="22" max="22" width="6.85546875" style="1" customWidth="1"/>
    <col min="23" max="23" width="7.28515625" style="1" customWidth="1"/>
    <col min="24" max="24" width="9" style="1" customWidth="1"/>
    <col min="25" max="25" width="8.85546875" style="1" customWidth="1"/>
    <col min="26" max="26" width="10.28515625" style="1" customWidth="1"/>
    <col min="27" max="28" width="9.140625" style="1" customWidth="1"/>
    <col min="29" max="29" width="8.28515625" style="1" customWidth="1"/>
    <col min="30" max="30" width="7.140625" style="1" customWidth="1"/>
    <col min="31" max="31" width="51" style="1" customWidth="1"/>
    <col min="32" max="32" width="18.85546875" style="1" customWidth="1"/>
    <col min="33" max="33" width="16.85546875" style="1" customWidth="1"/>
    <col min="34" max="34" width="14.85546875" style="1" customWidth="1"/>
    <col min="35" max="35" width="21.85546875" style="1" customWidth="1"/>
    <col min="36" max="36" width="21.140625" style="1" customWidth="1"/>
    <col min="37" max="16384" width="11.28515625" style="1"/>
  </cols>
  <sheetData>
    <row r="1" spans="1:68" ht="16.5" customHeight="1" x14ac:dyDescent="0.3">
      <c r="A1" s="472" t="s">
        <v>60</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4"/>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row>
    <row r="2" spans="1:68" ht="24" customHeight="1" x14ac:dyDescent="0.3">
      <c r="A2" s="475"/>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7"/>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row>
    <row r="3" spans="1:68" x14ac:dyDescent="0.3">
      <c r="A3" s="28"/>
      <c r="B3" s="29"/>
      <c r="C3" s="28"/>
      <c r="D3" s="28"/>
      <c r="E3" s="8"/>
      <c r="F3" s="2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ht="26.65" customHeight="1" x14ac:dyDescent="0.3">
      <c r="A4" s="478" t="s">
        <v>61</v>
      </c>
      <c r="B4" s="479"/>
      <c r="C4" s="480" t="s">
        <v>249</v>
      </c>
      <c r="D4" s="481"/>
      <c r="E4" s="481"/>
      <c r="F4" s="481"/>
      <c r="G4" s="481"/>
      <c r="H4" s="481"/>
      <c r="I4" s="481"/>
      <c r="J4" s="481"/>
      <c r="K4" s="481"/>
      <c r="L4" s="481"/>
      <c r="M4" s="481"/>
      <c r="N4" s="482"/>
      <c r="O4" s="483"/>
      <c r="P4" s="483"/>
      <c r="Q4" s="483"/>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8" ht="54.75" customHeight="1" x14ac:dyDescent="0.3">
      <c r="A5" s="478" t="s">
        <v>62</v>
      </c>
      <c r="B5" s="479"/>
      <c r="C5" s="484" t="s">
        <v>306</v>
      </c>
      <c r="D5" s="481"/>
      <c r="E5" s="481"/>
      <c r="F5" s="481"/>
      <c r="G5" s="481"/>
      <c r="H5" s="481"/>
      <c r="I5" s="481"/>
      <c r="J5" s="481"/>
      <c r="K5" s="481"/>
      <c r="L5" s="481"/>
      <c r="M5" s="481"/>
      <c r="N5" s="482"/>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8" ht="49.9" customHeight="1" x14ac:dyDescent="0.3">
      <c r="A6" s="478" t="s">
        <v>63</v>
      </c>
      <c r="B6" s="479"/>
      <c r="C6" s="484" t="s">
        <v>250</v>
      </c>
      <c r="D6" s="499"/>
      <c r="E6" s="499"/>
      <c r="F6" s="499"/>
      <c r="G6" s="499"/>
      <c r="H6" s="499"/>
      <c r="I6" s="499"/>
      <c r="J6" s="499"/>
      <c r="K6" s="499"/>
      <c r="L6" s="499"/>
      <c r="M6" s="499"/>
      <c r="N6" s="500"/>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8" x14ac:dyDescent="0.3">
      <c r="A7" s="485" t="s">
        <v>64</v>
      </c>
      <c r="B7" s="486"/>
      <c r="C7" s="486"/>
      <c r="D7" s="486"/>
      <c r="E7" s="486"/>
      <c r="F7" s="486"/>
      <c r="G7" s="487"/>
      <c r="H7" s="485" t="s">
        <v>65</v>
      </c>
      <c r="I7" s="486"/>
      <c r="J7" s="486"/>
      <c r="K7" s="486"/>
      <c r="L7" s="486"/>
      <c r="M7" s="486"/>
      <c r="N7" s="487"/>
      <c r="O7" s="485" t="s">
        <v>66</v>
      </c>
      <c r="P7" s="486"/>
      <c r="Q7" s="486"/>
      <c r="R7" s="486"/>
      <c r="S7" s="486"/>
      <c r="T7" s="486"/>
      <c r="U7" s="486"/>
      <c r="V7" s="486"/>
      <c r="W7" s="487"/>
      <c r="X7" s="485" t="s">
        <v>67</v>
      </c>
      <c r="Y7" s="486"/>
      <c r="Z7" s="486"/>
      <c r="AA7" s="486"/>
      <c r="AB7" s="486"/>
      <c r="AC7" s="486"/>
      <c r="AD7" s="487"/>
      <c r="AE7" s="485" t="s">
        <v>68</v>
      </c>
      <c r="AF7" s="486"/>
      <c r="AG7" s="486"/>
      <c r="AH7" s="486"/>
      <c r="AI7" s="486"/>
      <c r="AJ7" s="487"/>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ht="16.5" customHeight="1" x14ac:dyDescent="0.3">
      <c r="A8" s="490" t="s">
        <v>69</v>
      </c>
      <c r="B8" s="492" t="s">
        <v>15</v>
      </c>
      <c r="C8" s="493" t="s">
        <v>17</v>
      </c>
      <c r="D8" s="493" t="s">
        <v>19</v>
      </c>
      <c r="E8" s="495" t="s">
        <v>21</v>
      </c>
      <c r="F8" s="498" t="s">
        <v>23</v>
      </c>
      <c r="G8" s="493" t="s">
        <v>70</v>
      </c>
      <c r="H8" s="501" t="s">
        <v>71</v>
      </c>
      <c r="I8" s="502" t="s">
        <v>72</v>
      </c>
      <c r="J8" s="498" t="s">
        <v>73</v>
      </c>
      <c r="K8" s="498" t="s">
        <v>74</v>
      </c>
      <c r="L8" s="508" t="s">
        <v>75</v>
      </c>
      <c r="M8" s="502" t="s">
        <v>72</v>
      </c>
      <c r="N8" s="493" t="s">
        <v>29</v>
      </c>
      <c r="O8" s="488" t="s">
        <v>76</v>
      </c>
      <c r="P8" s="494" t="s">
        <v>31</v>
      </c>
      <c r="Q8" s="498" t="s">
        <v>33</v>
      </c>
      <c r="R8" s="494" t="s">
        <v>77</v>
      </c>
      <c r="S8" s="494"/>
      <c r="T8" s="494"/>
      <c r="U8" s="494"/>
      <c r="V8" s="494"/>
      <c r="W8" s="494"/>
      <c r="X8" s="497" t="s">
        <v>78</v>
      </c>
      <c r="Y8" s="497" t="s">
        <v>79</v>
      </c>
      <c r="Z8" s="497" t="s">
        <v>72</v>
      </c>
      <c r="AA8" s="497" t="s">
        <v>80</v>
      </c>
      <c r="AB8" s="497" t="s">
        <v>72</v>
      </c>
      <c r="AC8" s="497" t="s">
        <v>81</v>
      </c>
      <c r="AD8" s="488" t="s">
        <v>49</v>
      </c>
      <c r="AE8" s="496" t="s">
        <v>68</v>
      </c>
      <c r="AF8" s="494" t="s">
        <v>82</v>
      </c>
      <c r="AG8" s="496" t="s">
        <v>264</v>
      </c>
      <c r="AH8" s="496" t="s">
        <v>265</v>
      </c>
      <c r="AI8" s="496" t="s">
        <v>262</v>
      </c>
      <c r="AJ8" s="496" t="s">
        <v>263</v>
      </c>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8" s="4" customFormat="1" ht="71.650000000000006" customHeight="1" x14ac:dyDescent="0.25">
      <c r="A9" s="491"/>
      <c r="B9" s="492"/>
      <c r="C9" s="494"/>
      <c r="D9" s="494"/>
      <c r="E9" s="492"/>
      <c r="F9" s="493"/>
      <c r="G9" s="494"/>
      <c r="H9" s="493"/>
      <c r="I9" s="503"/>
      <c r="J9" s="493"/>
      <c r="K9" s="493"/>
      <c r="L9" s="503"/>
      <c r="M9" s="503"/>
      <c r="N9" s="494"/>
      <c r="O9" s="489"/>
      <c r="P9" s="494"/>
      <c r="Q9" s="493"/>
      <c r="R9" s="111" t="s">
        <v>83</v>
      </c>
      <c r="S9" s="111" t="s">
        <v>84</v>
      </c>
      <c r="T9" s="111" t="s">
        <v>85</v>
      </c>
      <c r="U9" s="111" t="s">
        <v>86</v>
      </c>
      <c r="V9" s="111" t="s">
        <v>87</v>
      </c>
      <c r="W9" s="111" t="s">
        <v>88</v>
      </c>
      <c r="X9" s="497"/>
      <c r="Y9" s="497"/>
      <c r="Z9" s="497"/>
      <c r="AA9" s="497"/>
      <c r="AB9" s="497"/>
      <c r="AC9" s="497"/>
      <c r="AD9" s="489"/>
      <c r="AE9" s="496"/>
      <c r="AF9" s="494"/>
      <c r="AG9" s="496"/>
      <c r="AH9" s="496"/>
      <c r="AI9" s="496"/>
      <c r="AJ9" s="496"/>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row>
    <row r="10" spans="1:68" s="325" customFormat="1" ht="188.85" customHeight="1" x14ac:dyDescent="0.25">
      <c r="A10" s="346">
        <v>1</v>
      </c>
      <c r="B10" s="351" t="s">
        <v>89</v>
      </c>
      <c r="C10" s="342" t="s">
        <v>251</v>
      </c>
      <c r="D10" s="342" t="s">
        <v>252</v>
      </c>
      <c r="E10" s="342" t="s">
        <v>368</v>
      </c>
      <c r="F10" s="342" t="s">
        <v>101</v>
      </c>
      <c r="G10" s="314">
        <v>501</v>
      </c>
      <c r="H10" s="344" t="str">
        <f>IF(G10&lt;=0,"",IF(G10&lt;=2,"Muy Baja",IF(G10&lt;=24,"Baja",IF(G10&lt;=500,"Media",IF(G10&lt;=5000,"Alta","Muy Alta")))))</f>
        <v>Alta</v>
      </c>
      <c r="I10" s="343">
        <f>IF(H10="","",IF(H10="Muy Baja",0.2,IF(H10="Baja",0.4,IF(H10="Media",0.6,IF(H10="Alta",0.8,IF(H10="Muy Alta",1,))))))</f>
        <v>0.8</v>
      </c>
      <c r="J10" s="334" t="str">
        <f>IF(OR($B$10="Reputacional",$B$10="Económica"),VLOOKUP($L$10,'Tabla Impacto'!$B$4:$G$8,4,0),IF(AND($B$10="Reputacional y Económica"),VLOOKUP($L$10,'Tabla Impacto'!$B$4:$G$8,5,0),((VLOOKUP($L$10,'Tabla Impacto'!$B$4:$G$8,2,0)))))</f>
        <v>El Impacto se evalúo como Catastrófico. El riesgo afecta la imagen de la entidad a nivel nacional, con efecto publicitarios sostenible a nivel país.</v>
      </c>
      <c r="K10" s="334" t="str">
        <f>IF(OR($B$10="Reputacional",$B$10="Económica"),VLOOKUP($L$10,'Tabla Impacto'!$B$4:$G$8,4,0),IF(AND($B$10="Reputacional y Económica"),VLOOKUP($L$10,'Tabla Impacto'!$B$4:$G$8,5,0),((VLOOKUP($L$10,'Tabla Impacto'!$B$4:$G$8,2,0)))))</f>
        <v>El Impacto se evalúo como Catastrófico. El riesgo afecta la imagen de la entidad a nivel nacional, con efecto publicitarios sostenible a nivel país.</v>
      </c>
      <c r="L10" s="352" t="s">
        <v>148</v>
      </c>
      <c r="M10" s="333">
        <f>VLOOKUP(L10,'Tabla Impacto'!$B$4:$G$8,6,0)</f>
        <v>1</v>
      </c>
      <c r="N10" s="345"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Extremo</v>
      </c>
      <c r="O10" s="315">
        <v>1</v>
      </c>
      <c r="P10" s="347" t="s">
        <v>438</v>
      </c>
      <c r="Q10" s="229" t="str">
        <f t="shared" ref="Q10:Q13" si="0">IF(OR(R10="Preventivo",R10="Detectivo"),"Probabilidad",IF(R10="Correctivo","Impacto",""))</f>
        <v>Probabilidad</v>
      </c>
      <c r="R10" s="317" t="s">
        <v>91</v>
      </c>
      <c r="S10" s="317" t="s">
        <v>92</v>
      </c>
      <c r="T10" s="318" t="str">
        <f t="shared" ref="T10:T13" si="1">IF(AND(R10="Preventivo",S10="Automático"),"50%",IF(AND(R10="Preventivo",S10="Manual"),"40%",IF(AND(R10="Detectivo",S10="Automático"),"40%",IF(AND(R10="Detectivo",S10="Manual"),"30%",IF(AND(R10="Correctivo",S10="Automático"),"35%",IF(AND(R10="Correctivo",S10="Manual"),"25%",""))))))</f>
        <v>40%</v>
      </c>
      <c r="U10" s="317" t="s">
        <v>93</v>
      </c>
      <c r="V10" s="317" t="s">
        <v>99</v>
      </c>
      <c r="W10" s="317" t="s">
        <v>95</v>
      </c>
      <c r="X10" s="338">
        <f>IFERROR(IF(Q10="Probabilidad",(I10-(+I10*T10)),IF(Q10="Impacto",I10,"")),"")</f>
        <v>0.48</v>
      </c>
      <c r="Y10" s="320" t="str">
        <f>IFERROR(IF(X10="","",IF(X10&lt;=0.2,"Muy Baja",IF(X10&lt;=0.4,"Baja",IF(X10&lt;=0.6,"Media",IF(X10&lt;=0.8,"Alta","Muy Alta"))))),"")</f>
        <v>Media</v>
      </c>
      <c r="Z10" s="146">
        <f t="shared" ref="Z10:Z13" si="2">+X10</f>
        <v>0.48</v>
      </c>
      <c r="AA10" s="320" t="str">
        <f>IFERROR(IF(AB10="","",IF(AB10&lt;=0.2,"Leve",IF(AB10&lt;=0.4,"Menor",IF(AB10&lt;=0.6,"Moderado",IF(AB10&lt;=0.8,"Mayor","Catastrófico"))))),"")</f>
        <v>Catastrófico</v>
      </c>
      <c r="AB10" s="146">
        <f>IFERROR(IF(Q10="Impacto",(M10-(+M10*T10)),IF(Q10="Probabilidad",M10,"")),"")</f>
        <v>1</v>
      </c>
      <c r="AC10" s="321" t="str">
        <f t="shared" ref="AC10:AC13"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Extremo</v>
      </c>
      <c r="AD10" s="339" t="s">
        <v>96</v>
      </c>
      <c r="AE10" s="348" t="s">
        <v>365</v>
      </c>
      <c r="AF10" s="348" t="s">
        <v>273</v>
      </c>
      <c r="AG10" s="348" t="s">
        <v>366</v>
      </c>
      <c r="AH10" s="348" t="str">
        <f>AG10</f>
        <v>Enero a Diciembre de 2026</v>
      </c>
      <c r="AI10" s="349" t="s">
        <v>302</v>
      </c>
      <c r="AJ10" s="348" t="s">
        <v>367</v>
      </c>
    </row>
    <row r="11" spans="1:68" s="330" customFormat="1" ht="108.75" customHeight="1" x14ac:dyDescent="0.3">
      <c r="A11" s="597">
        <v>2</v>
      </c>
      <c r="B11" s="599" t="s">
        <v>320</v>
      </c>
      <c r="C11" s="599" t="s">
        <v>282</v>
      </c>
      <c r="D11" s="599" t="s">
        <v>283</v>
      </c>
      <c r="E11" s="599" t="s">
        <v>369</v>
      </c>
      <c r="F11" s="599" t="s">
        <v>101</v>
      </c>
      <c r="G11" s="604">
        <f>12*4</f>
        <v>48</v>
      </c>
      <c r="H11" s="606" t="str">
        <f>IF(G11&lt;=0,"",IF(G11&lt;=2,"Muy Baja",IF(G11&lt;=24,"Baja",IF(G11&lt;=500,"Media",IF(G11&lt;=5000,"Alta","Muy Alta")))))</f>
        <v>Media</v>
      </c>
      <c r="I11" s="593">
        <f>IF(H11="","",IF(H11="Muy Baja",0.2,IF(H11="Baja",0.4,IF(H11="Media",0.6,IF(H11="Alta",0.8,IF(H11="Muy Alta",1,))))))</f>
        <v>0.6</v>
      </c>
      <c r="J11" s="693" t="str">
        <f>IF(OR($B$10="Reputacional",$B$10="Económica"),VLOOKUP($L$10,'Tabla Impacto'!$B$4:$G$8,4,0),IF(AND($B$10="Reputacional y Económica"),VLOOKUP($L$10,'Tabla Impacto'!$B$4:$G$8,5,0),((VLOOKUP($L$10,'Tabla Impacto'!$B$4:$G$8,2,0)))))</f>
        <v>El Impacto se evalúo como Catastrófico. El riesgo afecta la imagen de la entidad a nivel nacional, con efecto publicitarios sostenible a nivel país.</v>
      </c>
      <c r="K11" s="693" t="str">
        <f>IF(OR($B$10="Reputacional",$B$10="Económica"),VLOOKUP($L$10,'Tabla Impacto'!$B$4:$G$8,4,0),IF(AND($B$10="Reputacional y Económica"),VLOOKUP($L$10,'Tabla Impacto'!$B$4:$G$8,5,0),((VLOOKUP($L$10,'Tabla Impacto'!$B$4:$G$8,2,0)))))</f>
        <v>El Impacto se evalúo como Catastrófico. El riesgo afecta la imagen de la entidad a nivel nacional, con efecto publicitarios sostenible a nivel país.</v>
      </c>
      <c r="L11" s="602" t="s">
        <v>145</v>
      </c>
      <c r="M11" s="593">
        <f>VLOOKUP(L11,'Tabla Impacto'!$B$4:$G$8,6,0)</f>
        <v>0.8</v>
      </c>
      <c r="N11" s="591" t="str">
        <f>IF(OR(AND(H11="Muy Baja",L11="Leve"),AND(H11="Muy Baja",L11="Menor"),AND(H11="Baja",L11="Leve")),"Bajo",IF(OR(AND(H11="Muy baja",L11="Moderado"),AND(H11="Baja",L11="Menor"),AND(H11="Baja",L11="Moderado"),AND(H11="Media",L11="Leve"),AND(H11="Media",L11="Menor"),AND(H11="Media",L11="Moderado"),AND(H11="Alta",L11="Leve"),AND(H11="Alta",L11="Menor")),"Moderado",IF(OR(AND(H11="Muy Baja",L11="Mayor"),AND(H11="Baja",L11="Mayor"),AND(H11="Media",L11="Mayor"),AND(H11="Alta",L11="Moderado"),AND(H11="Alta",L11="Mayor"),AND(H11="Muy Alta",L11="Leve"),AND(H11="Muy Alta",L11="Menor"),AND(H11="Muy Alta",L11="Moderado"),AND(H11="Muy Alta",L11="Mayor")),"Alto",IF(OR(AND(H11="Muy Baja",L11="Catastrófico"),AND(H11="Baja",L11="Catastrófico"),AND(H11="Media",L11="Catastrófico"),AND(H11="Alta",L11="Catastrófico"),AND(H11="Muy Alta",L11="Catastrófico")),"Extremo",""))))</f>
        <v>Alto</v>
      </c>
      <c r="O11" s="315">
        <v>1</v>
      </c>
      <c r="P11" s="347" t="s">
        <v>370</v>
      </c>
      <c r="Q11" s="229" t="s">
        <v>15</v>
      </c>
      <c r="R11" s="317" t="s">
        <v>91</v>
      </c>
      <c r="S11" s="317" t="s">
        <v>92</v>
      </c>
      <c r="T11" s="318" t="str">
        <f t="shared" si="1"/>
        <v>40%</v>
      </c>
      <c r="U11" s="317" t="s">
        <v>93</v>
      </c>
      <c r="V11" s="317" t="s">
        <v>94</v>
      </c>
      <c r="W11" s="317" t="s">
        <v>95</v>
      </c>
      <c r="X11" s="338">
        <f>IFERROR(IF(Q11="Probabilidad",(I11-(+I11*T11)),IF(Q11="Impacto",I11,"")),"")</f>
        <v>0.6</v>
      </c>
      <c r="Y11" s="320" t="str">
        <f>IFERROR(IF(X11="","",IF(X11&lt;=0.2,"Muy Baja",IF(X11&lt;=0.4,"Baja",IF(X11&lt;=0.6,"Media",IF(X11&lt;=0.8,"Alta","Muy Alta"))))),"")</f>
        <v>Media</v>
      </c>
      <c r="Z11" s="146">
        <f t="shared" si="2"/>
        <v>0.6</v>
      </c>
      <c r="AA11" s="320" t="str">
        <f>IFERROR(IF(AB11="","",IF(AB11&lt;=0.2,"Leve",IF(AB11&lt;=0.4,"Menor",IF(AB11&lt;=0.6,"Moderado",IF(AB11&lt;=0.8,"Mayor","Catastrófico"))))),"")</f>
        <v>Moderado</v>
      </c>
      <c r="AB11" s="146">
        <f>IFERROR(IF(Q11="Impacto",(M11-(+M11*T11)),IF(Q11="Probabilidad",M11,"")),"")</f>
        <v>0.48</v>
      </c>
      <c r="AC11" s="321" t="str">
        <f t="shared" si="3"/>
        <v>Moderado</v>
      </c>
      <c r="AD11" s="339" t="s">
        <v>96</v>
      </c>
      <c r="AE11" s="347" t="s">
        <v>371</v>
      </c>
      <c r="AF11" s="348" t="s">
        <v>273</v>
      </c>
      <c r="AG11" s="348" t="s">
        <v>366</v>
      </c>
      <c r="AH11" s="348" t="str">
        <f t="shared" ref="AH11:AH13" si="4">AG11</f>
        <v>Enero a Diciembre de 2026</v>
      </c>
      <c r="AI11" s="348" t="s">
        <v>274</v>
      </c>
      <c r="AJ11" s="348" t="s">
        <v>274</v>
      </c>
    </row>
    <row r="12" spans="1:68" s="330" customFormat="1" ht="176.25" customHeight="1" x14ac:dyDescent="0.3">
      <c r="A12" s="598"/>
      <c r="B12" s="601"/>
      <c r="C12" s="601"/>
      <c r="D12" s="601"/>
      <c r="E12" s="601"/>
      <c r="F12" s="601"/>
      <c r="G12" s="605"/>
      <c r="H12" s="607"/>
      <c r="I12" s="594"/>
      <c r="J12" s="694"/>
      <c r="K12" s="694"/>
      <c r="L12" s="696"/>
      <c r="M12" s="594"/>
      <c r="N12" s="592"/>
      <c r="O12" s="315">
        <v>2</v>
      </c>
      <c r="P12" s="347" t="s">
        <v>439</v>
      </c>
      <c r="Q12" s="229" t="s">
        <v>15</v>
      </c>
      <c r="R12" s="317" t="s">
        <v>97</v>
      </c>
      <c r="S12" s="317" t="s">
        <v>92</v>
      </c>
      <c r="T12" s="318" t="str">
        <f t="shared" si="1"/>
        <v>30%</v>
      </c>
      <c r="U12" s="317" t="s">
        <v>93</v>
      </c>
      <c r="V12" s="317" t="s">
        <v>94</v>
      </c>
      <c r="W12" s="317" t="s">
        <v>95</v>
      </c>
      <c r="X12" s="338">
        <f>IFERROR(IF(AND(Q11="Probabilidad",Q12="Probabilidad"),(Z11-(+Z11*T12)),IF(Q12="Probabilidad",(I11-(+I11*T12)),IF(Q12="Impacto",Z11,""))),"")</f>
        <v>0.6</v>
      </c>
      <c r="Y12" s="320" t="str">
        <f t="shared" ref="Y12:Y13" si="5">IFERROR(IF(X12="","",IF(X12&lt;=0.2,"Muy Baja",IF(X12&lt;=0.4,"Baja",IF(X12&lt;=0.6,"Media",IF(X12&lt;=0.8,"Alta","Muy Alta"))))),"")</f>
        <v>Media</v>
      </c>
      <c r="Z12" s="146">
        <f t="shared" si="2"/>
        <v>0.6</v>
      </c>
      <c r="AA12" s="320" t="str">
        <f t="shared" ref="AA12:AA13" si="6">IFERROR(IF(AB12="","",IF(AB12&lt;=0.2,"Leve",IF(AB12&lt;=0.4,"Menor",IF(AB12&lt;=0.6,"Moderado",IF(AB12&lt;=0.8,"Mayor","Catastrófico"))))),"")</f>
        <v>Mayor</v>
      </c>
      <c r="AB12" s="146">
        <f>IFERROR(IF(AND(Q11="Impacto",Q12="Impacto"),(AB10-(+AB10*T12)),IF(Q12="Impacto",($M$11-(+$M$11*T12)),IF(Q12="Probabilidad",AB10,""))),"")</f>
        <v>0.7</v>
      </c>
      <c r="AC12" s="321" t="str">
        <f t="shared" si="3"/>
        <v>Alto</v>
      </c>
      <c r="AD12" s="339" t="s">
        <v>96</v>
      </c>
      <c r="AE12" s="347" t="s">
        <v>440</v>
      </c>
      <c r="AF12" s="348" t="s">
        <v>273</v>
      </c>
      <c r="AG12" s="348" t="s">
        <v>366</v>
      </c>
      <c r="AH12" s="348" t="str">
        <f t="shared" si="4"/>
        <v>Enero a Diciembre de 2026</v>
      </c>
      <c r="AI12" s="348" t="s">
        <v>301</v>
      </c>
      <c r="AJ12" s="348" t="s">
        <v>374</v>
      </c>
    </row>
    <row r="13" spans="1:68" s="330" customFormat="1" ht="150.75" customHeight="1" x14ac:dyDescent="0.3">
      <c r="A13" s="598"/>
      <c r="B13" s="600"/>
      <c r="C13" s="601"/>
      <c r="D13" s="601"/>
      <c r="E13" s="601"/>
      <c r="F13" s="601"/>
      <c r="G13" s="605"/>
      <c r="H13" s="607"/>
      <c r="I13" s="594"/>
      <c r="J13" s="695"/>
      <c r="K13" s="695"/>
      <c r="L13" s="603"/>
      <c r="M13" s="697"/>
      <c r="N13" s="592"/>
      <c r="O13" s="315">
        <v>3</v>
      </c>
      <c r="P13" s="411" t="s">
        <v>458</v>
      </c>
      <c r="Q13" s="229" t="str">
        <f t="shared" si="0"/>
        <v>Probabilidad</v>
      </c>
      <c r="R13" s="317" t="s">
        <v>91</v>
      </c>
      <c r="S13" s="317" t="s">
        <v>92</v>
      </c>
      <c r="T13" s="318" t="str">
        <f t="shared" si="1"/>
        <v>40%</v>
      </c>
      <c r="U13" s="317" t="s">
        <v>93</v>
      </c>
      <c r="V13" s="317" t="s">
        <v>99</v>
      </c>
      <c r="W13" s="317" t="s">
        <v>95</v>
      </c>
      <c r="X13" s="338">
        <f>IFERROR(IF(AND(Q12="Probabilidad",Q13="Probabilidad"),(Z12-(+Z12*T13)),IF(AND(Q12="Impacto",Q13="Probabilidad"),(Z11-(+Z11*T13)),IF(Q13="Impacto",Z12,""))),"")</f>
        <v>0.36</v>
      </c>
      <c r="Y13" s="320" t="str">
        <f t="shared" si="5"/>
        <v>Baja</v>
      </c>
      <c r="Z13" s="146">
        <f t="shared" si="2"/>
        <v>0.36</v>
      </c>
      <c r="AA13" s="320" t="str">
        <f t="shared" si="6"/>
        <v>Mayor</v>
      </c>
      <c r="AB13" s="146">
        <f>IFERROR(IF(AND(Q12="Impacto",Q13="Impacto"),(AB12-(+AB12*T13)),IF(AND(Q12="Probabilidad",Q13="Impacto"),(AB11-(+AB11*T13)),IF(Q13="Probabilidad",AB12,""))),"")</f>
        <v>0.7</v>
      </c>
      <c r="AC13" s="321" t="str">
        <f t="shared" si="3"/>
        <v>Alto</v>
      </c>
      <c r="AD13" s="339" t="s">
        <v>96</v>
      </c>
      <c r="AE13" s="347" t="s">
        <v>372</v>
      </c>
      <c r="AF13" s="348" t="s">
        <v>273</v>
      </c>
      <c r="AG13" s="348" t="s">
        <v>373</v>
      </c>
      <c r="AH13" s="348" t="str">
        <f t="shared" si="4"/>
        <v>Mayo a agosto de 2026</v>
      </c>
      <c r="AI13" s="348" t="s">
        <v>286</v>
      </c>
      <c r="AJ13" s="348" t="s">
        <v>286</v>
      </c>
    </row>
    <row r="14" spans="1:68" ht="49.9" customHeight="1" x14ac:dyDescent="0.3">
      <c r="A14" s="6"/>
      <c r="B14" s="504" t="s">
        <v>105</v>
      </c>
      <c r="C14" s="505"/>
      <c r="D14" s="505"/>
      <c r="E14" s="505"/>
      <c r="F14" s="505"/>
      <c r="G14" s="505"/>
      <c r="H14" s="505"/>
      <c r="I14" s="505"/>
      <c r="J14" s="505"/>
      <c r="K14" s="505"/>
      <c r="L14" s="505"/>
      <c r="M14" s="505"/>
      <c r="N14" s="505"/>
      <c r="O14" s="505"/>
      <c r="P14" s="505"/>
      <c r="Q14" s="505"/>
      <c r="R14" s="505"/>
      <c r="S14" s="505"/>
      <c r="T14" s="505"/>
      <c r="U14" s="505"/>
      <c r="V14" s="505"/>
      <c r="W14" s="505"/>
      <c r="X14" s="505"/>
      <c r="Y14" s="505"/>
      <c r="Z14" s="505"/>
      <c r="AA14" s="505"/>
      <c r="AB14" s="505"/>
      <c r="AC14" s="505"/>
      <c r="AD14" s="505"/>
      <c r="AE14" s="505"/>
      <c r="AF14" s="505"/>
      <c r="AG14" s="505"/>
      <c r="AH14" s="505"/>
      <c r="AI14" s="505"/>
      <c r="AJ14" s="506"/>
    </row>
    <row r="16" spans="1:68" x14ac:dyDescent="0.3">
      <c r="A16" s="1"/>
      <c r="B16" s="24" t="s">
        <v>106</v>
      </c>
      <c r="C16" s="1"/>
      <c r="D16" s="1"/>
      <c r="F16" s="1"/>
    </row>
  </sheetData>
  <dataConsolidate/>
  <mergeCells count="59">
    <mergeCell ref="B14:AJ14"/>
    <mergeCell ref="I11:I13"/>
    <mergeCell ref="J11:J13"/>
    <mergeCell ref="K11:K13"/>
    <mergeCell ref="L11:L13"/>
    <mergeCell ref="M11:M13"/>
    <mergeCell ref="F11:F13"/>
    <mergeCell ref="G11:G13"/>
    <mergeCell ref="H11:H13"/>
    <mergeCell ref="N11:N13"/>
    <mergeCell ref="A11:A13"/>
    <mergeCell ref="B11:B13"/>
    <mergeCell ref="C11:C13"/>
    <mergeCell ref="D11:D13"/>
    <mergeCell ref="E11:E13"/>
    <mergeCell ref="P8:P9"/>
    <mergeCell ref="Q8:Q9"/>
    <mergeCell ref="R8:W8"/>
    <mergeCell ref="X8:X9"/>
    <mergeCell ref="Y8:Y9"/>
    <mergeCell ref="J8:J9"/>
    <mergeCell ref="K8:K9"/>
    <mergeCell ref="L8:L9"/>
    <mergeCell ref="M8:M9"/>
    <mergeCell ref="N8:N9"/>
    <mergeCell ref="AA8:AA9"/>
    <mergeCell ref="AH8:AH9"/>
    <mergeCell ref="AI8:AI9"/>
    <mergeCell ref="AJ8:AJ9"/>
    <mergeCell ref="AD8:AD9"/>
    <mergeCell ref="AB8:AB9"/>
    <mergeCell ref="AC8:AC9"/>
    <mergeCell ref="A6:B6"/>
    <mergeCell ref="C6:N6"/>
    <mergeCell ref="A7:G7"/>
    <mergeCell ref="H7:N7"/>
    <mergeCell ref="O7:W7"/>
    <mergeCell ref="X7:AD7"/>
    <mergeCell ref="O8:O9"/>
    <mergeCell ref="AE7:AJ7"/>
    <mergeCell ref="A8:A9"/>
    <mergeCell ref="B8:B9"/>
    <mergeCell ref="C8:C9"/>
    <mergeCell ref="D8:D9"/>
    <mergeCell ref="E8:E9"/>
    <mergeCell ref="F8:F9"/>
    <mergeCell ref="G8:G9"/>
    <mergeCell ref="H8:H9"/>
    <mergeCell ref="I8:I9"/>
    <mergeCell ref="AG8:AG9"/>
    <mergeCell ref="Z8:Z9"/>
    <mergeCell ref="AE8:AE9"/>
    <mergeCell ref="AF8:AF9"/>
    <mergeCell ref="A1:AJ2"/>
    <mergeCell ref="A4:B4"/>
    <mergeCell ref="C4:N4"/>
    <mergeCell ref="O4:Q4"/>
    <mergeCell ref="A5:B5"/>
    <mergeCell ref="C5:N5"/>
  </mergeCells>
  <conditionalFormatting sqref="H10:H11">
    <cfRule type="cellIs" dxfId="229" priority="239" operator="equal">
      <formula>"Muy Alta"</formula>
    </cfRule>
    <cfRule type="cellIs" dxfId="228" priority="240" operator="equal">
      <formula>"Alta"</formula>
    </cfRule>
    <cfRule type="cellIs" dxfId="227" priority="241" operator="equal">
      <formula>"Media"</formula>
    </cfRule>
    <cfRule type="cellIs" dxfId="226" priority="242" operator="equal">
      <formula>"Baja"</formula>
    </cfRule>
    <cfRule type="cellIs" dxfId="225" priority="243" operator="equal">
      <formula>"Muy Baja"</formula>
    </cfRule>
  </conditionalFormatting>
  <conditionalFormatting sqref="L10:L11">
    <cfRule type="cellIs" dxfId="224" priority="2" operator="equal">
      <formula>"Catastrófico"</formula>
    </cfRule>
    <cfRule type="cellIs" dxfId="223" priority="3" operator="equal">
      <formula>"Mayor"</formula>
    </cfRule>
    <cfRule type="cellIs" dxfId="222" priority="4" operator="equal">
      <formula>"Moderado"</formula>
    </cfRule>
    <cfRule type="cellIs" dxfId="221" priority="5" operator="equal">
      <formula>"Menor"</formula>
    </cfRule>
    <cfRule type="cellIs" dxfId="220" priority="6" operator="equal">
      <formula>"Leve"</formula>
    </cfRule>
  </conditionalFormatting>
  <conditionalFormatting sqref="M10:M11">
    <cfRule type="containsText" dxfId="219" priority="1" operator="containsText" text="❌">
      <formula>NOT(ISERROR(SEARCH("❌",M10)))</formula>
    </cfRule>
  </conditionalFormatting>
  <conditionalFormatting sqref="N10:N11">
    <cfRule type="cellIs" dxfId="218" priority="212" operator="equal">
      <formula>"Extremo"</formula>
    </cfRule>
    <cfRule type="cellIs" dxfId="217" priority="213" operator="equal">
      <formula>"Alto"</formula>
    </cfRule>
    <cfRule type="cellIs" dxfId="216" priority="214" operator="equal">
      <formula>"Moderado"</formula>
    </cfRule>
    <cfRule type="cellIs" dxfId="215" priority="215" operator="equal">
      <formula>"Bajo"</formula>
    </cfRule>
  </conditionalFormatting>
  <conditionalFormatting sqref="Y10:Y13">
    <cfRule type="cellIs" dxfId="214" priority="207" operator="equal">
      <formula>"Muy Alta"</formula>
    </cfRule>
    <cfRule type="cellIs" dxfId="213" priority="208" operator="equal">
      <formula>"Alta"</formula>
    </cfRule>
    <cfRule type="cellIs" dxfId="212" priority="209" operator="equal">
      <formula>"Media"</formula>
    </cfRule>
    <cfRule type="cellIs" dxfId="211" priority="210" operator="equal">
      <formula>"Baja"</formula>
    </cfRule>
    <cfRule type="cellIs" dxfId="210" priority="211" operator="equal">
      <formula>"Muy Baja"</formula>
    </cfRule>
  </conditionalFormatting>
  <conditionalFormatting sqref="AA10:AA13">
    <cfRule type="cellIs" dxfId="209" priority="202" operator="equal">
      <formula>"Catastrófico"</formula>
    </cfRule>
    <cfRule type="cellIs" dxfId="208" priority="203" operator="equal">
      <formula>"Mayor"</formula>
    </cfRule>
    <cfRule type="cellIs" dxfId="207" priority="204" operator="equal">
      <formula>"Moderado"</formula>
    </cfRule>
    <cfRule type="cellIs" dxfId="206" priority="205" operator="equal">
      <formula>"Menor"</formula>
    </cfRule>
    <cfRule type="cellIs" dxfId="205" priority="206" operator="equal">
      <formula>"Leve"</formula>
    </cfRule>
  </conditionalFormatting>
  <conditionalFormatting sqref="AC10:AC13">
    <cfRule type="cellIs" dxfId="204" priority="198" operator="equal">
      <formula>"Extremo"</formula>
    </cfRule>
    <cfRule type="cellIs" dxfId="203" priority="199" operator="equal">
      <formula>"Alto"</formula>
    </cfRule>
    <cfRule type="cellIs" dxfId="202" priority="200" operator="equal">
      <formula>"Moderado"</formula>
    </cfRule>
    <cfRule type="cellIs" dxfId="201" priority="201"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D7258B58-6C45-47AD-B9A4-D78C75754CD4}">
          <x14:formula1>
            <xm:f>'Tabla Valoración controles'!$D$13:$D$14</xm:f>
          </x14:formula1>
          <xm:sqref>W10:W13</xm:sqref>
        </x14:dataValidation>
        <x14:dataValidation type="list" allowBlank="1" showInputMessage="1" showErrorMessage="1" xr:uid="{10C0FE8D-64D5-4C24-8697-69D6DDD28AB0}">
          <x14:formula1>
            <xm:f>'Tabla Valoración controles'!$D$11:$D$12</xm:f>
          </x14:formula1>
          <xm:sqref>V10:V13</xm:sqref>
        </x14:dataValidation>
        <x14:dataValidation type="list" allowBlank="1" showInputMessage="1" showErrorMessage="1" xr:uid="{AE30640C-25C5-49C1-8609-6D7E991F56BB}">
          <x14:formula1>
            <xm:f>'Tabla Valoración controles'!$D$9:$D$10</xm:f>
          </x14:formula1>
          <xm:sqref>U10:U13</xm:sqref>
        </x14:dataValidation>
        <x14:dataValidation type="list" allowBlank="1" showInputMessage="1" showErrorMessage="1" xr:uid="{6EBC64EC-0D65-45DF-84A3-FAD459A12899}">
          <x14:formula1>
            <xm:f>'Tabla Valoración controles'!$D$7:$D$8</xm:f>
          </x14:formula1>
          <xm:sqref>S10:S13</xm:sqref>
        </x14:dataValidation>
        <x14:dataValidation type="list" allowBlank="1" showInputMessage="1" showErrorMessage="1" xr:uid="{5C8210C0-6861-48B0-87DD-EEBC43A83859}">
          <x14:formula1>
            <xm:f>'Tabla Valoración controles'!$D$4:$D$6</xm:f>
          </x14:formula1>
          <xm:sqref>R10:R13</xm:sqref>
        </x14:dataValidation>
        <x14:dataValidation type="list" allowBlank="1" showInputMessage="1" showErrorMessage="1" xr:uid="{29CAEDA4-FB06-4DE8-912E-5256065719EA}">
          <x14:formula1>
            <xm:f>'Tabla Impacto'!$I$3:$I$8</xm:f>
          </x14:formula1>
          <xm:sqref>B10:B11</xm:sqref>
        </x14:dataValidation>
        <x14:dataValidation type="list" allowBlank="1" showInputMessage="1" showErrorMessage="1" xr:uid="{E7FF0574-E2CF-458A-930A-0CC47E2B9EEA}">
          <x14:formula1>
            <xm:f>'Tabla Impacto'!$B$3:$B$8</xm:f>
          </x14:formula1>
          <xm:sqref>L10:L11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tabColor rgb="FF00B050"/>
  </sheetPr>
  <dimension ref="A1:BP14"/>
  <sheetViews>
    <sheetView topLeftCell="I1" zoomScale="60" zoomScaleNormal="60" workbookViewId="0">
      <selection activeCell="P10" sqref="P10"/>
    </sheetView>
  </sheetViews>
  <sheetFormatPr baseColWidth="10" defaultColWidth="11.28515625" defaultRowHeight="14.25" x14ac:dyDescent="0.2"/>
  <cols>
    <col min="1" max="1" width="4" style="281" bestFit="1" customWidth="1"/>
    <col min="2" max="2" width="16.28515625" style="281" customWidth="1"/>
    <col min="3" max="3" width="17.28515625" style="281" customWidth="1"/>
    <col min="4" max="4" width="24" style="281" customWidth="1"/>
    <col min="5" max="5" width="38.140625" style="274" customWidth="1"/>
    <col min="6" max="6" width="19" style="282" customWidth="1"/>
    <col min="7" max="7" width="17.85546875" style="274" customWidth="1"/>
    <col min="8" max="8" width="16.28515625" style="274" customWidth="1"/>
    <col min="9" max="9" width="6.140625" style="274" bestFit="1" customWidth="1"/>
    <col min="10" max="10" width="24" style="274" customWidth="1"/>
    <col min="11" max="11" width="23.28515625" style="274" customWidth="1"/>
    <col min="12" max="12" width="17.28515625" style="274" customWidth="1"/>
    <col min="13" max="13" width="6.140625" style="274" bestFit="1" customWidth="1"/>
    <col min="14" max="14" width="16" style="274" customWidth="1"/>
    <col min="15" max="15" width="5.85546875" style="274" customWidth="1"/>
    <col min="16" max="16" width="60" style="274" customWidth="1"/>
    <col min="17" max="17" width="18" style="274" customWidth="1"/>
    <col min="18" max="18" width="6.85546875" style="274" customWidth="1"/>
    <col min="19" max="19" width="5" style="274" customWidth="1"/>
    <col min="20" max="20" width="5.28515625" style="274" customWidth="1"/>
    <col min="21" max="21" width="7.140625" style="274" customWidth="1"/>
    <col min="22" max="22" width="6.85546875" style="274" customWidth="1"/>
    <col min="23" max="23" width="7.28515625" style="274" customWidth="1"/>
    <col min="24" max="24" width="8.140625" style="274" customWidth="1"/>
    <col min="25" max="25" width="8.85546875" style="274" customWidth="1"/>
    <col min="26" max="26" width="10.28515625" style="274" customWidth="1"/>
    <col min="27" max="28" width="9.140625" style="274" customWidth="1"/>
    <col min="29" max="29" width="8.28515625" style="274" customWidth="1"/>
    <col min="30" max="30" width="7.140625" style="274" customWidth="1"/>
    <col min="31" max="31" width="23" style="274" customWidth="1"/>
    <col min="32" max="32" width="18.85546875" style="274" customWidth="1"/>
    <col min="33" max="33" width="16.85546875" style="274" customWidth="1"/>
    <col min="34" max="34" width="14.85546875" style="274" customWidth="1"/>
    <col min="35" max="35" width="34.28515625" style="274" customWidth="1"/>
    <col min="36" max="36" width="21" style="274" customWidth="1"/>
    <col min="37" max="16384" width="11.28515625" style="274"/>
  </cols>
  <sheetData>
    <row r="1" spans="1:68" ht="37.5" customHeight="1" x14ac:dyDescent="0.2">
      <c r="A1" s="608" t="s">
        <v>60</v>
      </c>
      <c r="B1" s="608"/>
      <c r="C1" s="608"/>
      <c r="D1" s="608"/>
      <c r="E1" s="608"/>
      <c r="F1" s="608"/>
      <c r="G1" s="608"/>
      <c r="H1" s="608"/>
      <c r="I1" s="608"/>
      <c r="J1" s="608"/>
      <c r="K1" s="608"/>
      <c r="L1" s="608"/>
      <c r="M1" s="608"/>
      <c r="N1" s="608"/>
      <c r="O1" s="608"/>
      <c r="P1" s="608"/>
      <c r="Q1" s="608"/>
      <c r="R1" s="608"/>
      <c r="S1" s="608"/>
      <c r="T1" s="608"/>
      <c r="U1" s="608"/>
      <c r="V1" s="608"/>
      <c r="W1" s="608"/>
      <c r="X1" s="608"/>
      <c r="Y1" s="608"/>
      <c r="Z1" s="608"/>
      <c r="AA1" s="608"/>
      <c r="AB1" s="608"/>
      <c r="AC1" s="608"/>
      <c r="AD1" s="608"/>
      <c r="AE1" s="608"/>
      <c r="AF1" s="608"/>
      <c r="AG1" s="608"/>
      <c r="AH1" s="608"/>
      <c r="AI1" s="608"/>
      <c r="AJ1" s="608"/>
      <c r="AK1" s="273"/>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273"/>
      <c r="BM1" s="273"/>
      <c r="BN1" s="273"/>
      <c r="BO1" s="273"/>
      <c r="BP1" s="273"/>
    </row>
    <row r="2" spans="1:68" ht="26.65" customHeight="1" x14ac:dyDescent="0.2">
      <c r="A2" s="610" t="s">
        <v>61</v>
      </c>
      <c r="B2" s="610"/>
      <c r="C2" s="698" t="s">
        <v>239</v>
      </c>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700"/>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row>
    <row r="3" spans="1:68" ht="39.4" customHeight="1" x14ac:dyDescent="0.2">
      <c r="A3" s="610" t="s">
        <v>62</v>
      </c>
      <c r="B3" s="610"/>
      <c r="C3" s="670" t="s">
        <v>240</v>
      </c>
      <c r="D3" s="671"/>
      <c r="E3" s="671"/>
      <c r="F3" s="671"/>
      <c r="G3" s="671"/>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1"/>
      <c r="AI3" s="671"/>
      <c r="AJ3" s="672"/>
      <c r="AK3" s="27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c r="BJ3" s="273"/>
      <c r="BK3" s="273"/>
      <c r="BL3" s="273"/>
      <c r="BM3" s="273"/>
      <c r="BN3" s="273"/>
      <c r="BO3" s="273"/>
      <c r="BP3" s="273"/>
    </row>
    <row r="4" spans="1:68" ht="44.65" customHeight="1" x14ac:dyDescent="0.2">
      <c r="A4" s="610" t="s">
        <v>63</v>
      </c>
      <c r="B4" s="610"/>
      <c r="C4" s="670" t="s">
        <v>241</v>
      </c>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2"/>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row>
    <row r="5" spans="1:68" ht="37.5" customHeight="1" x14ac:dyDescent="0.2">
      <c r="A5" s="701" t="s">
        <v>64</v>
      </c>
      <c r="B5" s="701"/>
      <c r="C5" s="701"/>
      <c r="D5" s="701"/>
      <c r="E5" s="701"/>
      <c r="F5" s="701"/>
      <c r="G5" s="701"/>
      <c r="H5" s="704" t="s">
        <v>65</v>
      </c>
      <c r="I5" s="704"/>
      <c r="J5" s="704"/>
      <c r="K5" s="704"/>
      <c r="L5" s="704"/>
      <c r="M5" s="704"/>
      <c r="N5" s="704"/>
      <c r="O5" s="701" t="s">
        <v>66</v>
      </c>
      <c r="P5" s="701"/>
      <c r="Q5" s="701"/>
      <c r="R5" s="701"/>
      <c r="S5" s="701"/>
      <c r="T5" s="701"/>
      <c r="U5" s="701"/>
      <c r="V5" s="701"/>
      <c r="W5" s="701"/>
      <c r="X5" s="704" t="s">
        <v>67</v>
      </c>
      <c r="Y5" s="704"/>
      <c r="Z5" s="704"/>
      <c r="AA5" s="704"/>
      <c r="AB5" s="704"/>
      <c r="AC5" s="704"/>
      <c r="AD5" s="704"/>
      <c r="AE5" s="701" t="s">
        <v>68</v>
      </c>
      <c r="AF5" s="701"/>
      <c r="AG5" s="701"/>
      <c r="AH5" s="701"/>
      <c r="AI5" s="701"/>
      <c r="AJ5" s="701"/>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row>
    <row r="6" spans="1:68" ht="36.75" customHeight="1" x14ac:dyDescent="0.2">
      <c r="A6" s="702" t="s">
        <v>69</v>
      </c>
      <c r="B6" s="613" t="s">
        <v>15</v>
      </c>
      <c r="C6" s="615" t="s">
        <v>17</v>
      </c>
      <c r="D6" s="615" t="s">
        <v>19</v>
      </c>
      <c r="E6" s="613" t="s">
        <v>21</v>
      </c>
      <c r="F6" s="615" t="s">
        <v>23</v>
      </c>
      <c r="G6" s="615" t="s">
        <v>70</v>
      </c>
      <c r="H6" s="615" t="s">
        <v>71</v>
      </c>
      <c r="I6" s="613" t="s">
        <v>72</v>
      </c>
      <c r="J6" s="615" t="s">
        <v>73</v>
      </c>
      <c r="K6" s="615" t="s">
        <v>74</v>
      </c>
      <c r="L6" s="615" t="s">
        <v>75</v>
      </c>
      <c r="M6" s="613" t="s">
        <v>72</v>
      </c>
      <c r="N6" s="615" t="s">
        <v>29</v>
      </c>
      <c r="O6" s="612" t="s">
        <v>76</v>
      </c>
      <c r="P6" s="615" t="s">
        <v>31</v>
      </c>
      <c r="Q6" s="615" t="s">
        <v>33</v>
      </c>
      <c r="R6" s="615" t="s">
        <v>77</v>
      </c>
      <c r="S6" s="615"/>
      <c r="T6" s="615"/>
      <c r="U6" s="615"/>
      <c r="V6" s="615"/>
      <c r="W6" s="615"/>
      <c r="X6" s="612" t="s">
        <v>78</v>
      </c>
      <c r="Y6" s="612" t="s">
        <v>79</v>
      </c>
      <c r="Z6" s="612" t="s">
        <v>72</v>
      </c>
      <c r="AA6" s="612" t="s">
        <v>80</v>
      </c>
      <c r="AB6" s="612" t="s">
        <v>72</v>
      </c>
      <c r="AC6" s="612" t="s">
        <v>81</v>
      </c>
      <c r="AD6" s="612" t="s">
        <v>49</v>
      </c>
      <c r="AE6" s="703" t="s">
        <v>68</v>
      </c>
      <c r="AF6" s="703" t="s">
        <v>82</v>
      </c>
      <c r="AG6" s="703" t="s">
        <v>264</v>
      </c>
      <c r="AH6" s="703" t="s">
        <v>265</v>
      </c>
      <c r="AI6" s="703" t="s">
        <v>262</v>
      </c>
      <c r="AJ6" s="703" t="s">
        <v>263</v>
      </c>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8" s="277" customFormat="1" ht="94.9" customHeight="1" x14ac:dyDescent="0.25">
      <c r="A7" s="702"/>
      <c r="B7" s="613"/>
      <c r="C7" s="615"/>
      <c r="D7" s="615"/>
      <c r="E7" s="613"/>
      <c r="F7" s="615"/>
      <c r="G7" s="615"/>
      <c r="H7" s="615"/>
      <c r="I7" s="613"/>
      <c r="J7" s="615"/>
      <c r="K7" s="615"/>
      <c r="L7" s="613"/>
      <c r="M7" s="613"/>
      <c r="N7" s="615"/>
      <c r="O7" s="612"/>
      <c r="P7" s="615"/>
      <c r="Q7" s="615"/>
      <c r="R7" s="269" t="s">
        <v>83</v>
      </c>
      <c r="S7" s="269" t="s">
        <v>84</v>
      </c>
      <c r="T7" s="269" t="s">
        <v>85</v>
      </c>
      <c r="U7" s="269" t="s">
        <v>86</v>
      </c>
      <c r="V7" s="269" t="s">
        <v>87</v>
      </c>
      <c r="W7" s="269" t="s">
        <v>88</v>
      </c>
      <c r="X7" s="612"/>
      <c r="Y7" s="612"/>
      <c r="Z7" s="612"/>
      <c r="AA7" s="612"/>
      <c r="AB7" s="612"/>
      <c r="AC7" s="612"/>
      <c r="AD7" s="612"/>
      <c r="AE7" s="703"/>
      <c r="AF7" s="703"/>
      <c r="AG7" s="703"/>
      <c r="AH7" s="703"/>
      <c r="AI7" s="703"/>
      <c r="AJ7" s="703"/>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row>
    <row r="8" spans="1:68" s="279" customFormat="1" ht="114" customHeight="1" x14ac:dyDescent="0.25">
      <c r="A8" s="705">
        <v>1</v>
      </c>
      <c r="B8" s="621" t="s">
        <v>320</v>
      </c>
      <c r="C8" s="621" t="s">
        <v>390</v>
      </c>
      <c r="D8" s="621" t="s">
        <v>389</v>
      </c>
      <c r="E8" s="621" t="s">
        <v>391</v>
      </c>
      <c r="F8" s="621" t="s">
        <v>281</v>
      </c>
      <c r="G8" s="624">
        <f>365</f>
        <v>365</v>
      </c>
      <c r="H8" s="625" t="str">
        <f>IF(G8&lt;=0,"",IF(G8&lt;=2,"Muy Baja",IF(G8&lt;=24,"Baja",IF(G8&lt;=500,"Media",IF(G8&lt;=5000,"Alta","Muy Alta")))))</f>
        <v>Media</v>
      </c>
      <c r="I8" s="622">
        <f>IF(H8="","",IF(H8="Muy Baja",0.2,IF(H8="Baja",0.4,IF(H8="Media",0.6,IF(H8="Alta",0.8,IF(H8="Muy Alta",1,))))))</f>
        <v>0.6</v>
      </c>
      <c r="J8" s="626" t="str">
        <f>IF(OR($B$8="Reputacional",$B$8="Económica"),VLOOKUP($L$8,'Tabla Impacto'!$B$4:$G$8,4,0),IF(AND($B$8="Reputacional y Económica"),VLOOKUP($L$8,'Tabla Impacto'!$B$4:$G$8,5,0),((VLOOKUP($L$8,'Tabla Impacto'!$B$4:$G$8,2,0)))))</f>
        <v>El Impacto se evalúo como Mayor. El riesgo afecta la imagen de de la entidad con efecto publicitario sostenido a nivel de sector administrativo, nivel departamental o municipal con una posible afectación entre 100 y 500 SMLMV.</v>
      </c>
      <c r="K8" s="626" t="str">
        <f>IF(OR($B$8="Reputacional",$B$8="Económica"),VLOOKUP($L$8,'Tabla Impacto'!$B$4:$G$8,4,0),IF(AND($B$8="Reputacional y Económica"),VLOOKUP($L$8,'Tabla Impacto'!$B$4:$G$8,5,0),((VLOOKUP($L$8,'Tabla Impacto'!$B$4:$G$8,2,0)))))</f>
        <v>El Impacto se evalúo como Mayor. El riesgo afecta la imagen de de la entidad con efecto publicitario sostenido a nivel de sector administrativo, nivel departamental o municipal con una posible afectación entre 100 y 500 SMLMV.</v>
      </c>
      <c r="L8" s="707" t="s">
        <v>145</v>
      </c>
      <c r="M8" s="622">
        <f>VLOOKUP(L8,'Tabla Impacto'!$B$4:$G$8,6,0)</f>
        <v>0.8</v>
      </c>
      <c r="N8" s="706" t="str">
        <f>IF(OR(AND(H8="Muy Baja",L8="Leve"),AND(H8="Muy Baja",L8="Menor"),AND(H8="Baja",L8="Leve")),"Bajo",IF(OR(AND(H8="Muy baja",L8="Moderado"),AND(H8="Baja",L8="Menor"),AND(H8="Baja",L8="Moderado"),AND(H8="Media",L8="Leve"),AND(H8="Media",L8="Menor"),AND(H8="Media",L8="Moderado"),AND(H8="Alta",L8="Leve"),AND(H8="Alta",L8="Menor")),"Moderado",IF(OR(AND(H8="Muy Baja",L8="Mayor"),AND(H8="Baja",L8="Mayor"),AND(H8="Media",L8="Mayor"),AND(H8="Alta",L8="Moderado"),AND(H8="Alta",L8="Mayor"),AND(H8="Muy Alta",L8="Leve"),AND(H8="Muy Alta",L8="Menor"),AND(H8="Muy Alta",L8="Moderado"),AND(H8="Muy Alta",L8="Mayor")),"Alto",IF(OR(AND(H8="Muy Baja",L8="Catastrófico"),AND(H8="Baja",L8="Catastrófico"),AND(H8="Media",L8="Catastrófico"),AND(H8="Alta",L8="Catastrófico"),AND(H8="Muy Alta",L8="Catastrófico")),"Extremo",""))))</f>
        <v>Alto</v>
      </c>
      <c r="O8" s="240">
        <v>1</v>
      </c>
      <c r="P8" s="256" t="s">
        <v>392</v>
      </c>
      <c r="Q8" s="220" t="str">
        <f t="shared" ref="Q8:Q11" si="0">IF(OR(R8="Preventivo",R8="Detectivo"),"Probabilidad",IF(R8="Correctivo","Impacto",""))</f>
        <v>Probabilidad</v>
      </c>
      <c r="R8" s="221" t="s">
        <v>91</v>
      </c>
      <c r="S8" s="221" t="s">
        <v>92</v>
      </c>
      <c r="T8" s="222" t="str">
        <f t="shared" ref="T8:T11" si="1">IF(AND(R8="Preventivo",S8="Automático"),"50%",IF(AND(R8="Preventivo",S8="Manual"),"40%",IF(AND(R8="Detectivo",S8="Automático"),"40%",IF(AND(R8="Detectivo",S8="Manual"),"30%",IF(AND(R8="Correctivo",S8="Automático"),"35%",IF(AND(R8="Correctivo",S8="Manual"),"25%",""))))))</f>
        <v>40%</v>
      </c>
      <c r="U8" s="221" t="s">
        <v>93</v>
      </c>
      <c r="V8" s="221" t="s">
        <v>94</v>
      </c>
      <c r="W8" s="221" t="s">
        <v>95</v>
      </c>
      <c r="X8" s="223">
        <f>IFERROR(IF(Q8="Probabilidad",(I8-(+I8*T8)),IF(Q8="Impacto",I8,"")),"")</f>
        <v>0.36</v>
      </c>
      <c r="Y8" s="224" t="str">
        <f>IFERROR(IF(X8="","",IF(X8&lt;=0.2,"Muy Baja",IF(X8&lt;=0.4,"Baja",IF(X8&lt;=0.6,"Media",IF(X8&lt;=0.8,"Alta","Muy Alta"))))),"")</f>
        <v>Baja</v>
      </c>
      <c r="Z8" s="222">
        <f t="shared" ref="Z8:Z11" si="2">+X8</f>
        <v>0.36</v>
      </c>
      <c r="AA8" s="224" t="str">
        <f>IFERROR(IF(AB8="","",IF(AB8&lt;=0.2,"Leve",IF(AB8&lt;=0.4,"Menor",IF(AB8&lt;=0.6,"Moderado",IF(AB8&lt;=0.8,"Mayor","Catastrófico"))))),"")</f>
        <v>Mayor</v>
      </c>
      <c r="AB8" s="222">
        <f>IFERROR(IF(Q8="Impacto",(M8-(+M8*T8)),IF(Q8="Probabilidad",M8,"")),"")</f>
        <v>0.8</v>
      </c>
      <c r="AC8" s="225" t="str">
        <f t="shared" ref="AC8:AC11" si="3">IFERROR(IF(OR(AND(Y8="Muy Baja",AA8="Leve"),AND(Y8="Muy Baja",AA8="Menor"),AND(Y8="Baja",AA8="Leve")),"Bajo",IF(OR(AND(Y8="Muy baja",AA8="Moderado"),AND(Y8="Baja",AA8="Menor"),AND(Y8="Baja",AA8="Moderado"),AND(Y8="Media",AA8="Leve"),AND(Y8="Media",AA8="Menor"),AND(Y8="Media",AA8="Moderado"),AND(Y8="Alta",AA8="Leve"),AND(Y8="Alta",AA8="Menor")),"Moderado",IF(OR(AND(Y8="Muy Baja",AA8="Mayor"),AND(Y8="Baja",AA8="Mayor"),AND(Y8="Media",AA8="Mayor"),AND(Y8="Alta",AA8="Moderado"),AND(Y8="Alta",AA8="Mayor"),AND(Y8="Muy Alta",AA8="Leve"),AND(Y8="Muy Alta",AA8="Menor"),AND(Y8="Muy Alta",AA8="Moderado"),AND(Y8="Muy Alta",AA8="Mayor")),"Alto",IF(OR(AND(Y8="Muy Baja",AA8="Catastrófico"),AND(Y8="Baja",AA8="Catastrófico"),AND(Y8="Media",AA8="Catastrófico"),AND(Y8="Alta",AA8="Catastrófico"),AND(Y8="Muy Alta",AA8="Catastrófico")),"Extremo","")))),"")</f>
        <v>Alto</v>
      </c>
      <c r="AD8" s="221" t="s">
        <v>96</v>
      </c>
      <c r="AE8" s="233" t="s">
        <v>268</v>
      </c>
      <c r="AF8" s="232" t="s">
        <v>292</v>
      </c>
      <c r="AG8" s="232" t="s">
        <v>399</v>
      </c>
      <c r="AH8" s="226" t="str">
        <f>AG8</f>
        <v>Enero a diciembre de 2026</v>
      </c>
      <c r="AI8" s="226" t="s">
        <v>427</v>
      </c>
      <c r="AJ8" s="233" t="s">
        <v>275</v>
      </c>
      <c r="AK8" s="294"/>
      <c r="AL8" s="294"/>
      <c r="AM8" s="294"/>
      <c r="AN8" s="294"/>
      <c r="AO8" s="291"/>
      <c r="AP8" s="291"/>
      <c r="AQ8" s="291"/>
      <c r="AR8" s="291"/>
      <c r="AS8" s="291"/>
      <c r="AT8" s="291"/>
      <c r="AU8" s="291"/>
      <c r="AV8" s="291"/>
      <c r="AW8" s="291"/>
      <c r="AX8" s="291"/>
      <c r="AY8" s="291"/>
      <c r="AZ8" s="291"/>
      <c r="BA8" s="291"/>
      <c r="BB8" s="291"/>
      <c r="BC8" s="291"/>
      <c r="BD8" s="291"/>
      <c r="BE8" s="291"/>
      <c r="BF8" s="291"/>
      <c r="BG8" s="291"/>
      <c r="BH8" s="291"/>
      <c r="BI8" s="291"/>
      <c r="BJ8" s="291"/>
      <c r="BK8" s="291"/>
      <c r="BL8" s="291"/>
      <c r="BM8" s="291"/>
      <c r="BN8" s="291"/>
      <c r="BO8" s="291"/>
      <c r="BP8" s="291"/>
    </row>
    <row r="9" spans="1:68" ht="127.15" customHeight="1" x14ac:dyDescent="0.2">
      <c r="A9" s="705"/>
      <c r="B9" s="621"/>
      <c r="C9" s="621"/>
      <c r="D9" s="621"/>
      <c r="E9" s="621"/>
      <c r="F9" s="621"/>
      <c r="G9" s="624"/>
      <c r="H9" s="625"/>
      <c r="I9" s="622"/>
      <c r="J9" s="626"/>
      <c r="K9" s="626"/>
      <c r="L9" s="707"/>
      <c r="M9" s="622"/>
      <c r="N9" s="706"/>
      <c r="O9" s="410">
        <v>2</v>
      </c>
      <c r="P9" s="408" t="s">
        <v>456</v>
      </c>
      <c r="Q9" s="220" t="str">
        <f t="shared" si="0"/>
        <v>Probabilidad</v>
      </c>
      <c r="R9" s="221" t="s">
        <v>91</v>
      </c>
      <c r="S9" s="221" t="s">
        <v>103</v>
      </c>
      <c r="T9" s="222" t="str">
        <f t="shared" si="1"/>
        <v>50%</v>
      </c>
      <c r="U9" s="221" t="s">
        <v>93</v>
      </c>
      <c r="V9" s="221" t="s">
        <v>94</v>
      </c>
      <c r="W9" s="221" t="s">
        <v>95</v>
      </c>
      <c r="X9" s="223">
        <f>IFERROR(IF(AND(Q8="Probabilidad",Q9="Probabilidad"),(Z8-(+Z8*T9)),IF(Q9="Probabilidad",(I8-(+I8*T9)),IF(Q9="Impacto",Z8,""))),"")</f>
        <v>0.18</v>
      </c>
      <c r="Y9" s="224" t="str">
        <f t="shared" ref="Y9:Y11" si="4">IFERROR(IF(X9="","",IF(X9&lt;=0.2,"Muy Baja",IF(X9&lt;=0.4,"Baja",IF(X9&lt;=0.6,"Media",IF(X9&lt;=0.8,"Alta","Muy Alta"))))),"")</f>
        <v>Muy Baja</v>
      </c>
      <c r="Z9" s="222">
        <f>+X9</f>
        <v>0.18</v>
      </c>
      <c r="AA9" s="224" t="str">
        <f t="shared" ref="AA9:AA11" si="5">IFERROR(IF(AB9="","",IF(AB9&lt;=0.2,"Leve",IF(AB9&lt;=0.4,"Menor",IF(AB9&lt;=0.6,"Moderado",IF(AB9&lt;=0.8,"Mayor","Catastrófico"))))),"")</f>
        <v>Mayor</v>
      </c>
      <c r="AB9" s="222">
        <f>IFERROR(IF(AND(Q8="Impacto",Q9="Impacto"),(AB8-(+AB8*T9)),IF(Q9="Impacto",($M$8-(+$M$8*T9)),IF(Q9="Probabilidad",AB8,""))),"")</f>
        <v>0.8</v>
      </c>
      <c r="AC9" s="225" t="str">
        <f t="shared" si="3"/>
        <v>Alto</v>
      </c>
      <c r="AD9" s="221" t="s">
        <v>96</v>
      </c>
      <c r="AE9" s="233" t="s">
        <v>268</v>
      </c>
      <c r="AF9" s="232" t="s">
        <v>292</v>
      </c>
      <c r="AG9" s="232" t="s">
        <v>399</v>
      </c>
      <c r="AH9" s="226" t="str">
        <f t="shared" ref="AH9:AH11" si="6">AG9</f>
        <v>Enero a diciembre de 2026</v>
      </c>
      <c r="AI9" s="232" t="s">
        <v>276</v>
      </c>
      <c r="AJ9" s="233" t="s">
        <v>275</v>
      </c>
      <c r="AK9" s="295"/>
      <c r="AL9" s="295"/>
      <c r="AM9" s="295"/>
      <c r="AN9" s="295"/>
      <c r="AO9" s="273"/>
      <c r="AP9" s="273"/>
      <c r="AQ9" s="273"/>
      <c r="AR9" s="273"/>
      <c r="AS9" s="273"/>
      <c r="AT9" s="273"/>
      <c r="AU9" s="273"/>
      <c r="AV9" s="273"/>
      <c r="AW9" s="273"/>
      <c r="AX9" s="273"/>
      <c r="AY9" s="273"/>
      <c r="AZ9" s="273"/>
      <c r="BA9" s="273"/>
      <c r="BB9" s="273"/>
      <c r="BC9" s="273"/>
      <c r="BD9" s="273"/>
      <c r="BE9" s="273"/>
      <c r="BF9" s="273"/>
      <c r="BG9" s="273"/>
      <c r="BH9" s="273"/>
      <c r="BI9" s="273"/>
      <c r="BJ9" s="273"/>
      <c r="BK9" s="273"/>
      <c r="BL9" s="273"/>
      <c r="BM9" s="273"/>
      <c r="BN9" s="273"/>
      <c r="BO9" s="273"/>
      <c r="BP9" s="273"/>
    </row>
    <row r="10" spans="1:68" ht="129.75" customHeight="1" x14ac:dyDescent="0.2">
      <c r="A10" s="705"/>
      <c r="B10" s="621"/>
      <c r="C10" s="621"/>
      <c r="D10" s="621"/>
      <c r="E10" s="621"/>
      <c r="F10" s="621"/>
      <c r="G10" s="624"/>
      <c r="H10" s="625"/>
      <c r="I10" s="622"/>
      <c r="J10" s="626"/>
      <c r="K10" s="626"/>
      <c r="L10" s="707"/>
      <c r="M10" s="622"/>
      <c r="N10" s="706"/>
      <c r="O10" s="410">
        <v>3</v>
      </c>
      <c r="P10" s="256" t="s">
        <v>393</v>
      </c>
      <c r="Q10" s="220" t="str">
        <f>IF(OR(R10="Preventivo",R10="Detectivo"),"Probabilidad",IF(R10="Correctivo","Impacto",""))</f>
        <v>Probabilidad</v>
      </c>
      <c r="R10" s="221" t="s">
        <v>97</v>
      </c>
      <c r="S10" s="221" t="s">
        <v>103</v>
      </c>
      <c r="T10" s="222" t="str">
        <f t="shared" si="1"/>
        <v>40%</v>
      </c>
      <c r="U10" s="221" t="s">
        <v>93</v>
      </c>
      <c r="V10" s="221" t="s">
        <v>94</v>
      </c>
      <c r="W10" s="221" t="s">
        <v>95</v>
      </c>
      <c r="X10" s="223">
        <f>IFERROR(IF(AND(Q9="Probabilidad",Q10="Probabilidad"),(Z9-(+Z9*T10)),IF(AND(Q9="Impacto",Q10="Probabilidad"),(Z8-(+Z8*T10)),IF(Q10="Impacto",Z9,""))),"")</f>
        <v>0.108</v>
      </c>
      <c r="Y10" s="224" t="str">
        <f t="shared" si="4"/>
        <v>Muy Baja</v>
      </c>
      <c r="Z10" s="222">
        <f t="shared" si="2"/>
        <v>0.108</v>
      </c>
      <c r="AA10" s="224" t="str">
        <f t="shared" si="5"/>
        <v>Mayor</v>
      </c>
      <c r="AB10" s="222">
        <f>IFERROR(IF(AND(Q9="Impacto",Q10="Impacto"),(AB9-(+AB9*T10)),IF(AND(Q9="Probabilidad",Q10="Impacto"),(AB8-(+AB8*T10)),IF(Q10="Probabilidad",AB9,""))),"")</f>
        <v>0.8</v>
      </c>
      <c r="AC10" s="225" t="str">
        <f t="shared" si="3"/>
        <v>Alto</v>
      </c>
      <c r="AD10" s="221" t="s">
        <v>96</v>
      </c>
      <c r="AE10" s="233" t="s">
        <v>268</v>
      </c>
      <c r="AF10" s="232" t="s">
        <v>292</v>
      </c>
      <c r="AG10" s="232" t="s">
        <v>399</v>
      </c>
      <c r="AH10" s="226" t="str">
        <f t="shared" si="6"/>
        <v>Enero a diciembre de 2026</v>
      </c>
      <c r="AI10" s="232" t="s">
        <v>394</v>
      </c>
      <c r="AJ10" s="233" t="s">
        <v>275</v>
      </c>
      <c r="AK10" s="295"/>
      <c r="AL10" s="295"/>
      <c r="AM10" s="295"/>
      <c r="AN10" s="295"/>
      <c r="AO10" s="273"/>
      <c r="AP10" s="273"/>
      <c r="AQ10" s="273"/>
      <c r="AR10" s="273"/>
      <c r="AS10" s="273"/>
      <c r="AT10" s="273"/>
      <c r="AU10" s="273"/>
      <c r="AV10" s="273"/>
      <c r="AW10" s="273"/>
      <c r="AX10" s="273"/>
      <c r="AY10" s="273"/>
      <c r="AZ10" s="273"/>
      <c r="BA10" s="273"/>
      <c r="BB10" s="273"/>
      <c r="BC10" s="273"/>
      <c r="BD10" s="273"/>
      <c r="BE10" s="273"/>
      <c r="BF10" s="273"/>
      <c r="BG10" s="273"/>
      <c r="BH10" s="273"/>
      <c r="BI10" s="273"/>
      <c r="BJ10" s="273"/>
      <c r="BK10" s="273"/>
      <c r="BL10" s="273"/>
      <c r="BM10" s="273"/>
      <c r="BN10" s="273"/>
      <c r="BO10" s="273"/>
      <c r="BP10" s="273"/>
    </row>
    <row r="11" spans="1:68" ht="129.75" customHeight="1" x14ac:dyDescent="0.2">
      <c r="A11" s="705"/>
      <c r="B11" s="621"/>
      <c r="C11" s="621"/>
      <c r="D11" s="621"/>
      <c r="E11" s="621"/>
      <c r="F11" s="621"/>
      <c r="G11" s="624"/>
      <c r="H11" s="625"/>
      <c r="I11" s="622"/>
      <c r="J11" s="626"/>
      <c r="K11" s="626"/>
      <c r="L11" s="707"/>
      <c r="M11" s="622"/>
      <c r="N11" s="706"/>
      <c r="O11" s="410">
        <v>4</v>
      </c>
      <c r="P11" s="408" t="s">
        <v>457</v>
      </c>
      <c r="Q11" s="220" t="str">
        <f t="shared" si="0"/>
        <v>Probabilidad</v>
      </c>
      <c r="R11" s="221" t="s">
        <v>91</v>
      </c>
      <c r="S11" s="221" t="s">
        <v>92</v>
      </c>
      <c r="T11" s="222" t="str">
        <f t="shared" si="1"/>
        <v>40%</v>
      </c>
      <c r="U11" s="221" t="s">
        <v>93</v>
      </c>
      <c r="V11" s="221" t="s">
        <v>94</v>
      </c>
      <c r="W11" s="221" t="s">
        <v>95</v>
      </c>
      <c r="X11" s="223">
        <f>IFERROR(IF(AND(Q10="Probabilidad",Q11="Probabilidad"),(Z10-(+Z10*T11)),IF(AND(Q10="Impacto",Q11="Probabilidad"),(Z9-(+Z9*T11)),IF(Q11="Impacto",Z10,""))),"")</f>
        <v>6.4799999999999996E-2</v>
      </c>
      <c r="Y11" s="224" t="str">
        <f t="shared" si="4"/>
        <v>Muy Baja</v>
      </c>
      <c r="Z11" s="222">
        <f t="shared" si="2"/>
        <v>6.4799999999999996E-2</v>
      </c>
      <c r="AA11" s="224" t="str">
        <f t="shared" si="5"/>
        <v>Mayor</v>
      </c>
      <c r="AB11" s="222">
        <f>IFERROR(IF(AND(Q10="Impacto",Q11="Impacto"),(AB10-(+AB10*T11)),IF(AND(Q10="Probabilidad",Q11="Impacto"),(AB9-(+AB9*T11)),IF(Q11="Probabilidad",AB10,""))),"")</f>
        <v>0.8</v>
      </c>
      <c r="AC11" s="225" t="str">
        <f t="shared" si="3"/>
        <v>Alto</v>
      </c>
      <c r="AD11" s="221" t="s">
        <v>96</v>
      </c>
      <c r="AE11" s="233" t="s">
        <v>268</v>
      </c>
      <c r="AF11" s="232" t="s">
        <v>292</v>
      </c>
      <c r="AG11" s="232" t="s">
        <v>399</v>
      </c>
      <c r="AH11" s="226" t="str">
        <f t="shared" si="6"/>
        <v>Enero a diciembre de 2026</v>
      </c>
      <c r="AI11" s="232" t="s">
        <v>293</v>
      </c>
      <c r="AJ11" s="233" t="s">
        <v>275</v>
      </c>
      <c r="AK11" s="295"/>
      <c r="AL11" s="295"/>
      <c r="AM11" s="295"/>
      <c r="AN11" s="295"/>
      <c r="AO11" s="273"/>
      <c r="AP11" s="273"/>
      <c r="AQ11" s="273"/>
      <c r="AR11" s="273"/>
      <c r="AS11" s="273"/>
      <c r="AT11" s="273"/>
      <c r="AU11" s="273"/>
      <c r="AV11" s="273"/>
      <c r="AW11" s="273"/>
      <c r="AX11" s="273"/>
      <c r="AY11" s="273"/>
      <c r="AZ11" s="273"/>
      <c r="BA11" s="273"/>
      <c r="BB11" s="273"/>
      <c r="BC11" s="273"/>
      <c r="BD11" s="273"/>
      <c r="BE11" s="273"/>
      <c r="BF11" s="273"/>
      <c r="BG11" s="273"/>
      <c r="BH11" s="273"/>
      <c r="BI11" s="273"/>
      <c r="BJ11" s="273"/>
      <c r="BK11" s="273"/>
      <c r="BL11" s="273"/>
      <c r="BM11" s="273"/>
      <c r="BN11" s="273"/>
      <c r="BO11" s="273"/>
      <c r="BP11" s="273"/>
    </row>
    <row r="12" spans="1:68" ht="49.9" customHeight="1" x14ac:dyDescent="0.2">
      <c r="A12" s="292"/>
      <c r="B12" s="680" t="s">
        <v>423</v>
      </c>
      <c r="C12" s="681"/>
      <c r="D12" s="681"/>
      <c r="E12" s="681"/>
      <c r="F12" s="681"/>
      <c r="G12" s="681"/>
      <c r="H12" s="681"/>
      <c r="I12" s="681"/>
      <c r="J12" s="681"/>
      <c r="K12" s="681"/>
      <c r="L12" s="681"/>
      <c r="M12" s="681"/>
      <c r="N12" s="681"/>
      <c r="O12" s="681"/>
      <c r="P12" s="681"/>
      <c r="Q12" s="681"/>
      <c r="R12" s="681"/>
      <c r="S12" s="681"/>
      <c r="T12" s="681"/>
      <c r="U12" s="681"/>
      <c r="V12" s="681"/>
      <c r="W12" s="681"/>
      <c r="X12" s="681"/>
      <c r="Y12" s="681"/>
      <c r="Z12" s="681"/>
      <c r="AA12" s="681"/>
      <c r="AB12" s="681"/>
      <c r="AC12" s="681"/>
      <c r="AD12" s="681"/>
      <c r="AE12" s="681"/>
      <c r="AF12" s="681"/>
      <c r="AG12" s="681"/>
      <c r="AH12" s="681"/>
      <c r="AI12" s="681"/>
      <c r="AJ12" s="682"/>
    </row>
    <row r="14" spans="1:68" ht="15" x14ac:dyDescent="0.2">
      <c r="A14" s="274"/>
      <c r="B14" s="283" t="s">
        <v>106</v>
      </c>
      <c r="C14" s="274"/>
      <c r="D14" s="274"/>
      <c r="F14" s="274"/>
    </row>
  </sheetData>
  <mergeCells count="58">
    <mergeCell ref="B12:AJ12"/>
    <mergeCell ref="M8:M11"/>
    <mergeCell ref="N8:N11"/>
    <mergeCell ref="G8:G11"/>
    <mergeCell ref="H8:H11"/>
    <mergeCell ref="I8:I11"/>
    <mergeCell ref="J8:J11"/>
    <mergeCell ref="K8:K11"/>
    <mergeCell ref="L8:L11"/>
    <mergeCell ref="F8:F11"/>
    <mergeCell ref="A8:A11"/>
    <mergeCell ref="B8:B11"/>
    <mergeCell ref="C8:C11"/>
    <mergeCell ref="D8:D11"/>
    <mergeCell ref="E8:E11"/>
    <mergeCell ref="P6:P7"/>
    <mergeCell ref="Q6:Q7"/>
    <mergeCell ref="R6:W6"/>
    <mergeCell ref="X6:X7"/>
    <mergeCell ref="Y6:Y7"/>
    <mergeCell ref="J6:J7"/>
    <mergeCell ref="K6:K7"/>
    <mergeCell ref="L6:L7"/>
    <mergeCell ref="M6:M7"/>
    <mergeCell ref="N6:N7"/>
    <mergeCell ref="AH6:AH7"/>
    <mergeCell ref="AI6:AI7"/>
    <mergeCell ref="AJ6:AJ7"/>
    <mergeCell ref="AD6:AD7"/>
    <mergeCell ref="AB6:AB7"/>
    <mergeCell ref="AC6:AC7"/>
    <mergeCell ref="A4:B4"/>
    <mergeCell ref="A5:G5"/>
    <mergeCell ref="H5:N5"/>
    <mergeCell ref="O5:W5"/>
    <mergeCell ref="C4:AJ4"/>
    <mergeCell ref="X5:AD5"/>
    <mergeCell ref="O6:O7"/>
    <mergeCell ref="AE5:AJ5"/>
    <mergeCell ref="A6:A7"/>
    <mergeCell ref="B6:B7"/>
    <mergeCell ref="C6:C7"/>
    <mergeCell ref="D6:D7"/>
    <mergeCell ref="E6:E7"/>
    <mergeCell ref="F6:F7"/>
    <mergeCell ref="G6:G7"/>
    <mergeCell ref="H6:H7"/>
    <mergeCell ref="I6:I7"/>
    <mergeCell ref="AG6:AG7"/>
    <mergeCell ref="Z6:Z7"/>
    <mergeCell ref="AE6:AE7"/>
    <mergeCell ref="AF6:AF7"/>
    <mergeCell ref="AA6:AA7"/>
    <mergeCell ref="A1:AJ1"/>
    <mergeCell ref="A2:B2"/>
    <mergeCell ref="A3:B3"/>
    <mergeCell ref="C3:AJ3"/>
    <mergeCell ref="C2:AJ2"/>
  </mergeCells>
  <conditionalFormatting sqref="H8">
    <cfRule type="cellIs" dxfId="200" priority="233" operator="equal">
      <formula>"Muy Alta"</formula>
    </cfRule>
    <cfRule type="cellIs" dxfId="199" priority="234" operator="equal">
      <formula>"Alta"</formula>
    </cfRule>
    <cfRule type="cellIs" dxfId="198" priority="235" operator="equal">
      <formula>"Media"</formula>
    </cfRule>
    <cfRule type="cellIs" dxfId="197" priority="236" operator="equal">
      <formula>"Baja"</formula>
    </cfRule>
    <cfRule type="cellIs" dxfId="196" priority="237" operator="equal">
      <formula>"Muy Baja"</formula>
    </cfRule>
  </conditionalFormatting>
  <conditionalFormatting sqref="L8">
    <cfRule type="cellIs" dxfId="195" priority="2" operator="equal">
      <formula>"Catastrófico"</formula>
    </cfRule>
    <cfRule type="cellIs" dxfId="194" priority="3" operator="equal">
      <formula>"Mayor"</formula>
    </cfRule>
    <cfRule type="cellIs" dxfId="193" priority="4" operator="equal">
      <formula>"Moderado"</formula>
    </cfRule>
    <cfRule type="cellIs" dxfId="192" priority="5" operator="equal">
      <formula>"Menor"</formula>
    </cfRule>
    <cfRule type="cellIs" dxfId="191" priority="6" operator="equal">
      <formula>"Leve"</formula>
    </cfRule>
  </conditionalFormatting>
  <conditionalFormatting sqref="M8">
    <cfRule type="containsText" dxfId="190" priority="1" operator="containsText" text="❌">
      <formula>NOT(ISERROR(SEARCH("❌",M8)))</formula>
    </cfRule>
  </conditionalFormatting>
  <conditionalFormatting sqref="N8">
    <cfRule type="cellIs" dxfId="189" priority="224" operator="equal">
      <formula>"Extremo"</formula>
    </cfRule>
    <cfRule type="cellIs" dxfId="188" priority="225" operator="equal">
      <formula>"Alto"</formula>
    </cfRule>
    <cfRule type="cellIs" dxfId="187" priority="226" operator="equal">
      <formula>"Moderado"</formula>
    </cfRule>
    <cfRule type="cellIs" dxfId="186" priority="227" operator="equal">
      <formula>"Bajo"</formula>
    </cfRule>
  </conditionalFormatting>
  <conditionalFormatting sqref="Y8:Y11">
    <cfRule type="cellIs" dxfId="185" priority="219" operator="equal">
      <formula>"Muy Alta"</formula>
    </cfRule>
    <cfRule type="cellIs" dxfId="184" priority="220" operator="equal">
      <formula>"Alta"</formula>
    </cfRule>
    <cfRule type="cellIs" dxfId="183" priority="221" operator="equal">
      <formula>"Media"</formula>
    </cfRule>
    <cfRule type="cellIs" dxfId="182" priority="222" operator="equal">
      <formula>"Baja"</formula>
    </cfRule>
    <cfRule type="cellIs" dxfId="181" priority="223" operator="equal">
      <formula>"Muy Baja"</formula>
    </cfRule>
  </conditionalFormatting>
  <conditionalFormatting sqref="AA8:AA11">
    <cfRule type="cellIs" dxfId="180" priority="214" operator="equal">
      <formula>"Catastrófico"</formula>
    </cfRule>
    <cfRule type="cellIs" dxfId="179" priority="215" operator="equal">
      <formula>"Mayor"</formula>
    </cfRule>
    <cfRule type="cellIs" dxfId="178" priority="216" operator="equal">
      <formula>"Moderado"</formula>
    </cfRule>
    <cfRule type="cellIs" dxfId="177" priority="217" operator="equal">
      <formula>"Menor"</formula>
    </cfRule>
    <cfRule type="cellIs" dxfId="176" priority="218" operator="equal">
      <formula>"Leve"</formula>
    </cfRule>
  </conditionalFormatting>
  <conditionalFormatting sqref="AC8:AC11">
    <cfRule type="cellIs" dxfId="175" priority="210" operator="equal">
      <formula>"Extremo"</formula>
    </cfRule>
    <cfRule type="cellIs" dxfId="174" priority="211" operator="equal">
      <formula>"Alto"</formula>
    </cfRule>
    <cfRule type="cellIs" dxfId="173" priority="212" operator="equal">
      <formula>"Moderado"</formula>
    </cfRule>
    <cfRule type="cellIs" dxfId="172" priority="213"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A6876EED-85A0-4A47-9854-D2F05B5F8E1C}">
          <x14:formula1>
            <xm:f>'Tabla Valoración controles'!$D$13:$D$14</xm:f>
          </x14:formula1>
          <xm:sqref>W8:W11</xm:sqref>
        </x14:dataValidation>
        <x14:dataValidation type="list" allowBlank="1" showInputMessage="1" showErrorMessage="1" xr:uid="{5B8CDC56-35AC-4CCC-B54C-8000CD32946F}">
          <x14:formula1>
            <xm:f>'Tabla Valoración controles'!$D$11:$D$12</xm:f>
          </x14:formula1>
          <xm:sqref>V8:V11</xm:sqref>
        </x14:dataValidation>
        <x14:dataValidation type="list" allowBlank="1" showInputMessage="1" showErrorMessage="1" xr:uid="{0526CBB5-CC8D-407B-AD2A-7BEE42E90E6B}">
          <x14:formula1>
            <xm:f>'Tabla Valoración controles'!$D$9:$D$10</xm:f>
          </x14:formula1>
          <xm:sqref>U8:U11</xm:sqref>
        </x14:dataValidation>
        <x14:dataValidation type="list" allowBlank="1" showInputMessage="1" showErrorMessage="1" xr:uid="{9C627EE5-DF73-46E7-B63E-C550DA29912F}">
          <x14:formula1>
            <xm:f>'Tabla Valoración controles'!$D$7:$D$8</xm:f>
          </x14:formula1>
          <xm:sqref>S8:S11</xm:sqref>
        </x14:dataValidation>
        <x14:dataValidation type="list" allowBlank="1" showInputMessage="1" showErrorMessage="1" xr:uid="{2C014736-D746-4932-BACA-62C5FDB24187}">
          <x14:formula1>
            <xm:f>'Tabla Valoración controles'!$D$4:$D$6</xm:f>
          </x14:formula1>
          <xm:sqref>R8:R11</xm:sqref>
        </x14:dataValidation>
        <x14:dataValidation type="list" allowBlank="1" showInputMessage="1" showErrorMessage="1" xr:uid="{E7617CA0-0A23-4DE7-AB0C-30EB87AA9255}">
          <x14:formula1>
            <xm:f>'Tabla Impacto'!$I$3:$I$8</xm:f>
          </x14:formula1>
          <xm:sqref>B8</xm:sqref>
        </x14:dataValidation>
        <x14:dataValidation type="list" allowBlank="1" showInputMessage="1" showErrorMessage="1" xr:uid="{4F461210-903A-45C1-91B2-FB83A0CAD157}">
          <x14:formula1>
            <xm:f>'Tabla Impacto'!$B$3:$B$8</xm:f>
          </x14:formula1>
          <xm:sqref>L8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tabColor rgb="FF00B050"/>
  </sheetPr>
  <dimension ref="A1:BP13"/>
  <sheetViews>
    <sheetView topLeftCell="E3" zoomScale="70" zoomScaleNormal="70" workbookViewId="0">
      <selection activeCell="P9" sqref="P9"/>
    </sheetView>
  </sheetViews>
  <sheetFormatPr baseColWidth="10" defaultColWidth="11.28515625" defaultRowHeight="14.25" x14ac:dyDescent="0.2"/>
  <cols>
    <col min="1" max="1" width="4" style="281" bestFit="1" customWidth="1"/>
    <col min="2" max="2" width="16.7109375" style="281" customWidth="1"/>
    <col min="3" max="3" width="17.28515625" style="281" customWidth="1"/>
    <col min="4" max="4" width="20.140625" style="281" customWidth="1"/>
    <col min="5" max="5" width="43.28515625" style="274" customWidth="1"/>
    <col min="6" max="6" width="20.7109375" style="282" customWidth="1"/>
    <col min="7" max="7" width="17.85546875" style="274" customWidth="1"/>
    <col min="8" max="8" width="21.140625" style="274" customWidth="1"/>
    <col min="9" max="9" width="6.140625" style="274" bestFit="1" customWidth="1"/>
    <col min="10" max="10" width="27.140625" style="274" bestFit="1" customWidth="1"/>
    <col min="11" max="11" width="23" style="274" customWidth="1"/>
    <col min="12" max="12" width="17.28515625" style="274" customWidth="1"/>
    <col min="13" max="13" width="6.140625" style="274" bestFit="1" customWidth="1"/>
    <col min="14" max="14" width="16" style="274" customWidth="1"/>
    <col min="15" max="15" width="5.85546875" style="274" customWidth="1"/>
    <col min="16" max="16" width="58.7109375" style="274" customWidth="1"/>
    <col min="17" max="17" width="16.85546875" style="274" customWidth="1"/>
    <col min="18" max="18" width="6.85546875" style="274" customWidth="1"/>
    <col min="19" max="19" width="5" style="274" customWidth="1"/>
    <col min="20" max="20" width="5.28515625" style="274" customWidth="1"/>
    <col min="21" max="21" width="7.140625" style="274" customWidth="1"/>
    <col min="22" max="22" width="6.85546875" style="274" customWidth="1"/>
    <col min="23" max="23" width="7.28515625" style="274" customWidth="1"/>
    <col min="24" max="24" width="9.140625" style="274" customWidth="1"/>
    <col min="25" max="25" width="8.85546875" style="274" customWidth="1"/>
    <col min="26" max="26" width="12.7109375" style="274" customWidth="1"/>
    <col min="27" max="28" width="9.140625" style="274" customWidth="1"/>
    <col min="29" max="29" width="8.28515625" style="274" customWidth="1"/>
    <col min="30" max="30" width="12.140625" style="274" customWidth="1"/>
    <col min="31" max="31" width="60.5703125" style="274" customWidth="1"/>
    <col min="32" max="32" width="18.85546875" style="274" customWidth="1"/>
    <col min="33" max="33" width="16.85546875" style="274" customWidth="1"/>
    <col min="34" max="34" width="14.85546875" style="274" customWidth="1"/>
    <col min="35" max="35" width="32.28515625" style="274" customWidth="1"/>
    <col min="36" max="36" width="21" style="274" customWidth="1"/>
    <col min="37" max="16384" width="11.28515625" style="274"/>
  </cols>
  <sheetData>
    <row r="1" spans="1:68" ht="33.75" customHeight="1" x14ac:dyDescent="0.2">
      <c r="A1" s="608" t="s">
        <v>60</v>
      </c>
      <c r="B1" s="608"/>
      <c r="C1" s="608"/>
      <c r="D1" s="608"/>
      <c r="E1" s="608"/>
      <c r="F1" s="608"/>
      <c r="G1" s="608"/>
      <c r="H1" s="608"/>
      <c r="I1" s="608"/>
      <c r="J1" s="608"/>
      <c r="K1" s="608"/>
      <c r="L1" s="608"/>
      <c r="M1" s="608"/>
      <c r="N1" s="608"/>
      <c r="O1" s="608"/>
      <c r="P1" s="608"/>
      <c r="Q1" s="608"/>
      <c r="R1" s="608"/>
      <c r="S1" s="608"/>
      <c r="T1" s="608"/>
      <c r="U1" s="608"/>
      <c r="V1" s="608"/>
      <c r="W1" s="608"/>
      <c r="X1" s="608"/>
      <c r="Y1" s="608"/>
      <c r="Z1" s="608"/>
      <c r="AA1" s="608"/>
      <c r="AB1" s="608"/>
      <c r="AC1" s="608"/>
      <c r="AD1" s="608"/>
      <c r="AE1" s="608"/>
      <c r="AF1" s="608"/>
      <c r="AG1" s="608"/>
      <c r="AH1" s="608"/>
      <c r="AI1" s="608"/>
      <c r="AJ1" s="608"/>
      <c r="AK1" s="273"/>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273"/>
      <c r="BM1" s="273"/>
      <c r="BN1" s="273"/>
      <c r="BO1" s="273"/>
      <c r="BP1" s="273"/>
    </row>
    <row r="2" spans="1:68" ht="26.65" customHeight="1" x14ac:dyDescent="0.2">
      <c r="A2" s="610" t="s">
        <v>61</v>
      </c>
      <c r="B2" s="610"/>
      <c r="C2" s="698" t="s">
        <v>228</v>
      </c>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700"/>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row>
    <row r="3" spans="1:68" ht="30.4" customHeight="1" x14ac:dyDescent="0.2">
      <c r="A3" s="610" t="s">
        <v>62</v>
      </c>
      <c r="B3" s="610"/>
      <c r="C3" s="698" t="s">
        <v>227</v>
      </c>
      <c r="D3" s="699"/>
      <c r="E3" s="699"/>
      <c r="F3" s="699"/>
      <c r="G3" s="699"/>
      <c r="H3" s="699"/>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I3" s="699"/>
      <c r="AJ3" s="700"/>
      <c r="AK3" s="27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c r="BJ3" s="273"/>
      <c r="BK3" s="273"/>
      <c r="BL3" s="273"/>
      <c r="BM3" s="273"/>
      <c r="BN3" s="273"/>
      <c r="BO3" s="273"/>
      <c r="BP3" s="273"/>
    </row>
    <row r="4" spans="1:68" ht="49.9" customHeight="1" x14ac:dyDescent="0.2">
      <c r="A4" s="610" t="s">
        <v>63</v>
      </c>
      <c r="B4" s="610"/>
      <c r="C4" s="670" t="s">
        <v>226</v>
      </c>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2"/>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row>
    <row r="5" spans="1:68" ht="40.9" customHeight="1" x14ac:dyDescent="0.2">
      <c r="A5" s="613" t="s">
        <v>64</v>
      </c>
      <c r="B5" s="613"/>
      <c r="C5" s="613"/>
      <c r="D5" s="613"/>
      <c r="E5" s="613"/>
      <c r="F5" s="613"/>
      <c r="G5" s="613"/>
      <c r="H5" s="611" t="s">
        <v>65</v>
      </c>
      <c r="I5" s="611"/>
      <c r="J5" s="611"/>
      <c r="K5" s="611"/>
      <c r="L5" s="611"/>
      <c r="M5" s="611"/>
      <c r="N5" s="611"/>
      <c r="O5" s="613" t="s">
        <v>66</v>
      </c>
      <c r="P5" s="613"/>
      <c r="Q5" s="613"/>
      <c r="R5" s="613"/>
      <c r="S5" s="613"/>
      <c r="T5" s="613"/>
      <c r="U5" s="613"/>
      <c r="V5" s="613"/>
      <c r="W5" s="613"/>
      <c r="X5" s="611" t="s">
        <v>67</v>
      </c>
      <c r="Y5" s="611"/>
      <c r="Z5" s="611"/>
      <c r="AA5" s="611"/>
      <c r="AB5" s="611"/>
      <c r="AC5" s="611"/>
      <c r="AD5" s="611"/>
      <c r="AE5" s="613" t="s">
        <v>68</v>
      </c>
      <c r="AF5" s="613"/>
      <c r="AG5" s="613"/>
      <c r="AH5" s="613"/>
      <c r="AI5" s="613"/>
      <c r="AJ5" s="613"/>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row>
    <row r="6" spans="1:68" ht="16.5" customHeight="1" x14ac:dyDescent="0.2">
      <c r="A6" s="710" t="s">
        <v>69</v>
      </c>
      <c r="B6" s="708" t="s">
        <v>15</v>
      </c>
      <c r="C6" s="703" t="s">
        <v>17</v>
      </c>
      <c r="D6" s="703" t="s">
        <v>19</v>
      </c>
      <c r="E6" s="708" t="s">
        <v>21</v>
      </c>
      <c r="F6" s="703" t="s">
        <v>23</v>
      </c>
      <c r="G6" s="703" t="s">
        <v>70</v>
      </c>
      <c r="H6" s="703" t="s">
        <v>71</v>
      </c>
      <c r="I6" s="708" t="s">
        <v>72</v>
      </c>
      <c r="J6" s="703" t="s">
        <v>73</v>
      </c>
      <c r="K6" s="703" t="s">
        <v>74</v>
      </c>
      <c r="L6" s="703" t="s">
        <v>75</v>
      </c>
      <c r="M6" s="708" t="s">
        <v>72</v>
      </c>
      <c r="N6" s="703" t="s">
        <v>29</v>
      </c>
      <c r="O6" s="711" t="s">
        <v>76</v>
      </c>
      <c r="P6" s="703" t="s">
        <v>31</v>
      </c>
      <c r="Q6" s="703" t="s">
        <v>33</v>
      </c>
      <c r="R6" s="703" t="s">
        <v>77</v>
      </c>
      <c r="S6" s="703"/>
      <c r="T6" s="703"/>
      <c r="U6" s="703"/>
      <c r="V6" s="703"/>
      <c r="W6" s="703"/>
      <c r="X6" s="711" t="s">
        <v>78</v>
      </c>
      <c r="Y6" s="711" t="s">
        <v>79</v>
      </c>
      <c r="Z6" s="711" t="s">
        <v>72</v>
      </c>
      <c r="AA6" s="711" t="s">
        <v>80</v>
      </c>
      <c r="AB6" s="711" t="s">
        <v>72</v>
      </c>
      <c r="AC6" s="711" t="s">
        <v>81</v>
      </c>
      <c r="AD6" s="711" t="s">
        <v>49</v>
      </c>
      <c r="AE6" s="703" t="s">
        <v>68</v>
      </c>
      <c r="AF6" s="703" t="s">
        <v>82</v>
      </c>
      <c r="AG6" s="703" t="s">
        <v>264</v>
      </c>
      <c r="AH6" s="703" t="s">
        <v>265</v>
      </c>
      <c r="AI6" s="703" t="s">
        <v>262</v>
      </c>
      <c r="AJ6" s="703" t="s">
        <v>263</v>
      </c>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8" s="277" customFormat="1" ht="94.9" customHeight="1" x14ac:dyDescent="0.25">
      <c r="A7" s="710"/>
      <c r="B7" s="708"/>
      <c r="C7" s="703"/>
      <c r="D7" s="703"/>
      <c r="E7" s="708"/>
      <c r="F7" s="703"/>
      <c r="G7" s="703"/>
      <c r="H7" s="703"/>
      <c r="I7" s="708"/>
      <c r="J7" s="703"/>
      <c r="K7" s="703"/>
      <c r="L7" s="708"/>
      <c r="M7" s="708"/>
      <c r="N7" s="703"/>
      <c r="O7" s="711"/>
      <c r="P7" s="703"/>
      <c r="Q7" s="703"/>
      <c r="R7" s="296" t="s">
        <v>83</v>
      </c>
      <c r="S7" s="296" t="s">
        <v>84</v>
      </c>
      <c r="T7" s="296" t="s">
        <v>85</v>
      </c>
      <c r="U7" s="296" t="s">
        <v>86</v>
      </c>
      <c r="V7" s="296" t="s">
        <v>87</v>
      </c>
      <c r="W7" s="296" t="s">
        <v>88</v>
      </c>
      <c r="X7" s="711"/>
      <c r="Y7" s="711"/>
      <c r="Z7" s="711"/>
      <c r="AA7" s="711"/>
      <c r="AB7" s="711"/>
      <c r="AC7" s="711"/>
      <c r="AD7" s="711"/>
      <c r="AE7" s="703"/>
      <c r="AF7" s="703"/>
      <c r="AG7" s="703"/>
      <c r="AH7" s="703"/>
      <c r="AI7" s="703"/>
      <c r="AJ7" s="703"/>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row>
    <row r="8" spans="1:68" s="279" customFormat="1" ht="109.5" customHeight="1" x14ac:dyDescent="0.25">
      <c r="A8" s="867">
        <v>1</v>
      </c>
      <c r="B8" s="865" t="s">
        <v>89</v>
      </c>
      <c r="C8" s="865" t="s">
        <v>225</v>
      </c>
      <c r="D8" s="865" t="s">
        <v>224</v>
      </c>
      <c r="E8" s="865" t="s">
        <v>382</v>
      </c>
      <c r="F8" s="865" t="s">
        <v>101</v>
      </c>
      <c r="G8" s="863">
        <v>160</v>
      </c>
      <c r="H8" s="690" t="str">
        <f>IF(G8&lt;=0,"",IF(G8&lt;=2,"Muy Baja",IF(G8&lt;=24,"Baja",IF(G8&lt;=500,"Media",IF(G8&lt;=5000,"Alta","Muy Alta")))))</f>
        <v>Media</v>
      </c>
      <c r="I8" s="684">
        <f>IF(H8="","",IF(H8="Muy Baja",0.2,IF(H8="Baja",0.4,IF(H8="Media",0.6,IF(H8="Alta",0.8,IF(H8="Muy Alta",1,))))))</f>
        <v>0.6</v>
      </c>
      <c r="J8" s="674"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v>
      </c>
      <c r="K8" s="674"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v>
      </c>
      <c r="L8" s="677" t="s">
        <v>114</v>
      </c>
      <c r="M8" s="684">
        <f>VLOOKUP(L8,'Tabla Impacto'!$B$4:$G$8,6,0)</f>
        <v>0.6</v>
      </c>
      <c r="N8" s="861" t="str">
        <f>IF(OR(AND(H8="Muy Baja",L8="Leve"),AND(H8="Muy Baja",L8="Menor"),AND(H8="Baja",L8="Leve")),"Bajo",IF(OR(AND(H8="Muy baja",L8="Moderado"),AND(H8="Baja",L8="Menor"),AND(H8="Baja",L8="Moderado"),AND(H8="Media",L8="Leve"),AND(H8="Media",L8="Menor"),AND(H8="Media",L8="Moderado"),AND(H8="Alta",L8="Leve"),AND(H8="Alta",L8="Menor")),"Moderado",IF(OR(AND(H8="Muy Baja",L8="Mayor"),AND(H8="Baja",L8="Mayor"),AND(H8="Media",L8="Mayor"),AND(H8="Alta",L8="Moderado"),AND(H8="Alta",L8="Mayor"),AND(H8="Muy Alta",L8="Leve"),AND(H8="Muy Alta",L8="Menor"),AND(H8="Muy Alta",L8="Moderado"),AND(H8="Muy Alta",L8="Mayor")),"Alto",IF(OR(AND(H8="Muy Baja",L8="Catastrófico"),AND(H8="Baja",L8="Catastrófico"),AND(H8="Media",L8="Catastrófico"),AND(H8="Alta",L8="Catastrófico"),AND(H8="Muy Alta",L8="Catastrófico")),"Extremo",""))))</f>
        <v>Moderado</v>
      </c>
      <c r="O8" s="240">
        <v>1</v>
      </c>
      <c r="P8" s="256" t="s">
        <v>481</v>
      </c>
      <c r="Q8" s="220" t="str">
        <f t="shared" ref="Q8:Q9" si="0">IF(OR(R8="Preventivo",R8="Detectivo"),"Probabilidad",IF(R8="Correctivo","Impacto",""))</f>
        <v>Probabilidad</v>
      </c>
      <c r="R8" s="221" t="s">
        <v>91</v>
      </c>
      <c r="S8" s="221" t="s">
        <v>92</v>
      </c>
      <c r="T8" s="222" t="str">
        <f t="shared" ref="T8:T9" si="1">IF(AND(R8="Preventivo",S8="Automático"),"50%",IF(AND(R8="Preventivo",S8="Manual"),"40%",IF(AND(R8="Detectivo",S8="Automático"),"40%",IF(AND(R8="Detectivo",S8="Manual"),"30%",IF(AND(R8="Correctivo",S8="Automático"),"35%",IF(AND(R8="Correctivo",S8="Manual"),"25%",""))))))</f>
        <v>40%</v>
      </c>
      <c r="U8" s="221" t="s">
        <v>93</v>
      </c>
      <c r="V8" s="221" t="s">
        <v>94</v>
      </c>
      <c r="W8" s="221" t="s">
        <v>95</v>
      </c>
      <c r="X8" s="241">
        <f>IFERROR(IF(Q8="Probabilidad",(I8-(+I8*T8)),IF(Q8="Impacto",I8,"")),"")</f>
        <v>0.36</v>
      </c>
      <c r="Y8" s="224" t="str">
        <f t="shared" ref="Y8:Y9" si="2">IFERROR(IF(X8="","",IF(X8&lt;=0.2,"Muy Baja",IF(X8&lt;=0.4,"Baja",IF(X8&lt;=0.6,"Media",IF(X8&lt;=0.8,"Alta","Muy Alta"))))),"")</f>
        <v>Baja</v>
      </c>
      <c r="Z8" s="222">
        <f t="shared" ref="Z8:Z9" si="3">+X8</f>
        <v>0.36</v>
      </c>
      <c r="AA8" s="224" t="str">
        <f t="shared" ref="AA8:AA9" si="4">IFERROR(IF(AB8="","",IF(AB8&lt;=0.2,"Leve",IF(AB8&lt;=0.4,"Menor",IF(AB8&lt;=0.6,"Moderado",IF(AB8&lt;=0.8,"Mayor","Catastrófico"))))),"")</f>
        <v>Moderado</v>
      </c>
      <c r="AB8" s="222">
        <f>IFERROR(IF(Q8="Impacto",(M8-(+M8*T8)),IF(Q8="Probabilidad",M8,"")),"")</f>
        <v>0.6</v>
      </c>
      <c r="AC8" s="225" t="str">
        <f t="shared" ref="AC8:AC9" si="5">IFERROR(IF(OR(AND(Y8="Muy Baja",AA8="Leve"),AND(Y8="Muy Baja",AA8="Menor"),AND(Y8="Baja",AA8="Leve")),"Bajo",IF(OR(AND(Y8="Muy baja",AA8="Moderado"),AND(Y8="Baja",AA8="Menor"),AND(Y8="Baja",AA8="Moderado"),AND(Y8="Media",AA8="Leve"),AND(Y8="Media",AA8="Menor"),AND(Y8="Media",AA8="Moderado"),AND(Y8="Alta",AA8="Leve"),AND(Y8="Alta",AA8="Menor")),"Moderado",IF(OR(AND(Y8="Muy Baja",AA8="Mayor"),AND(Y8="Baja",AA8="Mayor"),AND(Y8="Media",AA8="Mayor"),AND(Y8="Alta",AA8="Moderado"),AND(Y8="Alta",AA8="Mayor"),AND(Y8="Muy Alta",AA8="Leve"),AND(Y8="Muy Alta",AA8="Menor"),AND(Y8="Muy Alta",AA8="Moderado"),AND(Y8="Muy Alta",AA8="Mayor")),"Alto",IF(OR(AND(Y8="Muy Baja",AA8="Catastrófico"),AND(Y8="Baja",AA8="Catastrófico"),AND(Y8="Media",AA8="Catastrófico"),AND(Y8="Alta",AA8="Catastrófico"),AND(Y8="Muy Alta",AA8="Catastrófico")),"Extremo","")))),"")</f>
        <v>Moderado</v>
      </c>
      <c r="AD8" s="242" t="s">
        <v>96</v>
      </c>
      <c r="AE8" s="354" t="str">
        <f>MID(P8,1,400)</f>
        <v>La Mesa Técnica de Contratación mensualmente revisará y aprobará los estudios previos de los procesos contractuales establecidos dentro del Plan Anual Adquisiciones, previa remisión por parte de las áreas generadoras de la necesidad y/o servicios a contratar y propondran ajustes presupuestales.</v>
      </c>
      <c r="AF8" s="232" t="s">
        <v>277</v>
      </c>
      <c r="AG8" s="232" t="s">
        <v>366</v>
      </c>
      <c r="AH8" s="354" t="str">
        <f>AG8</f>
        <v>Enero a Diciembre de 2026</v>
      </c>
      <c r="AI8" s="226" t="s">
        <v>375</v>
      </c>
      <c r="AJ8" s="233" t="s">
        <v>275</v>
      </c>
      <c r="AK8" s="291"/>
      <c r="AL8" s="291"/>
      <c r="AM8" s="291"/>
      <c r="AN8" s="291"/>
      <c r="AO8" s="291"/>
      <c r="AP8" s="291"/>
      <c r="AQ8" s="291"/>
      <c r="AR8" s="291"/>
      <c r="AS8" s="291"/>
      <c r="AT8" s="291"/>
      <c r="AU8" s="291"/>
      <c r="AV8" s="291"/>
      <c r="AW8" s="291"/>
      <c r="AX8" s="291"/>
      <c r="AY8" s="291"/>
      <c r="AZ8" s="291"/>
      <c r="BA8" s="291"/>
      <c r="BB8" s="291"/>
      <c r="BC8" s="291"/>
      <c r="BD8" s="291"/>
      <c r="BE8" s="291"/>
      <c r="BF8" s="291"/>
      <c r="BG8" s="291"/>
      <c r="BH8" s="291"/>
      <c r="BI8" s="291"/>
      <c r="BJ8" s="291"/>
      <c r="BK8" s="291"/>
      <c r="BL8" s="291"/>
      <c r="BM8" s="291"/>
      <c r="BN8" s="291"/>
      <c r="BO8" s="291"/>
      <c r="BP8" s="291"/>
    </row>
    <row r="9" spans="1:68" ht="144.75" customHeight="1" x14ac:dyDescent="0.2">
      <c r="A9" s="868"/>
      <c r="B9" s="866"/>
      <c r="C9" s="866"/>
      <c r="D9" s="866"/>
      <c r="E9" s="866"/>
      <c r="F9" s="866"/>
      <c r="G9" s="864"/>
      <c r="H9" s="692"/>
      <c r="I9" s="686"/>
      <c r="J9" s="676"/>
      <c r="K9" s="676"/>
      <c r="L9" s="679"/>
      <c r="M9" s="686"/>
      <c r="N9" s="862"/>
      <c r="O9" s="240">
        <v>2</v>
      </c>
      <c r="P9" s="256" t="s">
        <v>479</v>
      </c>
      <c r="Q9" s="220" t="str">
        <f t="shared" si="0"/>
        <v>Probabilidad</v>
      </c>
      <c r="R9" s="221" t="s">
        <v>91</v>
      </c>
      <c r="S9" s="221" t="s">
        <v>92</v>
      </c>
      <c r="T9" s="222" t="str">
        <f t="shared" si="1"/>
        <v>40%</v>
      </c>
      <c r="U9" s="221" t="s">
        <v>104</v>
      </c>
      <c r="V9" s="221" t="s">
        <v>94</v>
      </c>
      <c r="W9" s="221" t="s">
        <v>95</v>
      </c>
      <c r="X9" s="241">
        <f>IFERROR(IF(AND(Q8="Probabilidad",Q9="Probabilidad"),(Z8-(+Z8*T9)),IF(Q9="Probabilidad",(I8-(+I8*T9)),IF(Q9="Impacto",Z8,""))),"")</f>
        <v>0.216</v>
      </c>
      <c r="Y9" s="224" t="str">
        <f t="shared" si="2"/>
        <v>Baja</v>
      </c>
      <c r="Z9" s="222">
        <f t="shared" si="3"/>
        <v>0.216</v>
      </c>
      <c r="AA9" s="224" t="str">
        <f t="shared" si="4"/>
        <v>Moderado</v>
      </c>
      <c r="AB9" s="222">
        <f>IFERROR(IF(AND(Q8="Impacto",Q9="Impacto"),(AB8-(+AB8*T9)),IF(Q9="Impacto",($M$8-(+$M$8*T9)),IF(Q9="Probabilidad",AB8,""))),"")</f>
        <v>0.6</v>
      </c>
      <c r="AC9" s="225" t="str">
        <f t="shared" si="5"/>
        <v>Moderado</v>
      </c>
      <c r="AD9" s="242" t="s">
        <v>96</v>
      </c>
      <c r="AE9" s="418" t="str">
        <f t="shared" ref="AE9:AE11" si="6">MID(P9,1,400)</f>
        <v>La Secretaría General, a través del Grupo Administrativo y  Financiero, en articulación con la Oficina Asesora de Planeación harán seguimiento para determinar si las necesidades establecidas y los servicios definidos en el plan anual de adquisiciones han sido atendidas en los plazos establecidos. Se genera informe mensual a la Ordenación de Gasto sobre los presupuestos no han sido afectados para l</v>
      </c>
      <c r="AF9" s="232" t="s">
        <v>277</v>
      </c>
      <c r="AG9" s="232" t="s">
        <v>366</v>
      </c>
      <c r="AH9" s="354" t="str">
        <f t="shared" ref="AH9:AH11" si="7">AG9</f>
        <v>Enero a Diciembre de 2026</v>
      </c>
      <c r="AI9" s="232" t="s">
        <v>376</v>
      </c>
      <c r="AJ9" s="233" t="s">
        <v>275</v>
      </c>
      <c r="AK9" s="273"/>
      <c r="AL9" s="273"/>
      <c r="AM9" s="273"/>
      <c r="AN9" s="273"/>
      <c r="AO9" s="273"/>
      <c r="AP9" s="273"/>
      <c r="AQ9" s="273"/>
      <c r="AR9" s="273"/>
      <c r="AS9" s="273"/>
      <c r="AT9" s="273"/>
      <c r="AU9" s="273"/>
      <c r="AV9" s="273"/>
      <c r="AW9" s="273"/>
      <c r="AX9" s="273"/>
      <c r="AY9" s="273"/>
      <c r="AZ9" s="273"/>
      <c r="BA9" s="273"/>
      <c r="BB9" s="273"/>
      <c r="BC9" s="273"/>
      <c r="BD9" s="273"/>
      <c r="BE9" s="273"/>
      <c r="BF9" s="273"/>
      <c r="BG9" s="273"/>
      <c r="BH9" s="273"/>
      <c r="BI9" s="273"/>
      <c r="BJ9" s="273"/>
      <c r="BK9" s="273"/>
      <c r="BL9" s="273"/>
      <c r="BM9" s="273"/>
      <c r="BN9" s="273"/>
      <c r="BO9" s="273"/>
      <c r="BP9" s="273"/>
    </row>
    <row r="10" spans="1:68" ht="92.45" customHeight="1" x14ac:dyDescent="0.2">
      <c r="A10" s="709">
        <v>2</v>
      </c>
      <c r="B10" s="621" t="s">
        <v>320</v>
      </c>
      <c r="C10" s="712" t="s">
        <v>378</v>
      </c>
      <c r="D10" s="712" t="s">
        <v>224</v>
      </c>
      <c r="E10" s="712" t="s">
        <v>377</v>
      </c>
      <c r="F10" s="712" t="s">
        <v>101</v>
      </c>
      <c r="G10" s="709">
        <v>69</v>
      </c>
      <c r="H10" s="625" t="str">
        <f>IF(G10&lt;=0,"",IF(G10&lt;=2,"Muy Baja",IF(G10&lt;=24,"Baja",IF(G10&lt;=500,"Media",IF(G10&lt;=5000,"Alta","Muy Alta")))))</f>
        <v>Media</v>
      </c>
      <c r="I10" s="622">
        <f>IF(H10="","",IF(H10="Muy Baja",0.2,IF(H10="Baja",0.4,IF(H10="Media",0.6,IF(H10="Alta",0.8,IF(H10="Muy Alta",1,))))))</f>
        <v>0.6</v>
      </c>
      <c r="J10" s="626"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v>
      </c>
      <c r="K10" s="626"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v>
      </c>
      <c r="L10" s="707" t="s">
        <v>114</v>
      </c>
      <c r="M10" s="622">
        <f>VLOOKUP(L10,'Tabla Impacto'!$B$4:$G$8,6,0)</f>
        <v>0.6</v>
      </c>
      <c r="N10" s="706"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240">
        <v>1</v>
      </c>
      <c r="P10" s="327" t="s">
        <v>480</v>
      </c>
      <c r="Q10" s="220" t="str">
        <f t="shared" ref="Q10:Q11" si="8">IF(OR(R10="Preventivo",R10="Detectivo"),"Probabilidad",IF(R10="Correctivo","Impacto",""))</f>
        <v>Probabilidad</v>
      </c>
      <c r="R10" s="221" t="s">
        <v>91</v>
      </c>
      <c r="S10" s="221" t="s">
        <v>92</v>
      </c>
      <c r="T10" s="222" t="str">
        <f t="shared" ref="T10:T11" si="9">IF(AND(R10="Preventivo",S10="Automático"),"50%",IF(AND(R10="Preventivo",S10="Manual"),"40%",IF(AND(R10="Detectivo",S10="Automático"),"40%",IF(AND(R10="Detectivo",S10="Manual"),"30%",IF(AND(R10="Correctivo",S10="Automático"),"35%",IF(AND(R10="Correctivo",S10="Manual"),"25%",""))))))</f>
        <v>40%</v>
      </c>
      <c r="U10" s="221" t="s">
        <v>93</v>
      </c>
      <c r="V10" s="221" t="s">
        <v>94</v>
      </c>
      <c r="W10" s="221" t="s">
        <v>95</v>
      </c>
      <c r="X10" s="241">
        <f>IFERROR(IF(Q10="Probabilidad",(I10-(+I10*T10)),IF(Q10="Impacto",I10,"")),"")</f>
        <v>0.36</v>
      </c>
      <c r="Y10" s="224" t="str">
        <f t="shared" ref="Y10:Y11" si="10">IFERROR(IF(X10="","",IF(X10&lt;=0.2,"Muy Baja",IF(X10&lt;=0.4,"Baja",IF(X10&lt;=0.6,"Media",IF(X10&lt;=0.8,"Alta","Muy Alta"))))),"")</f>
        <v>Baja</v>
      </c>
      <c r="Z10" s="222">
        <f t="shared" ref="Z10:Z11" si="11">+X10</f>
        <v>0.36</v>
      </c>
      <c r="AA10" s="224" t="str">
        <f t="shared" ref="AA10:AA11" si="12">IFERROR(IF(AB10="","",IF(AB10&lt;=0.2,"Leve",IF(AB10&lt;=0.4,"Menor",IF(AB10&lt;=0.6,"Moderado",IF(AB10&lt;=0.8,"Mayor","Catastrófico"))))),"")</f>
        <v>Moderado</v>
      </c>
      <c r="AB10" s="222">
        <f>IFERROR(IF(Q10="Impacto",(M10-(+M10*T10)),IF(Q10="Probabilidad",M10,"")),"")</f>
        <v>0.6</v>
      </c>
      <c r="AC10" s="225" t="str">
        <f t="shared" ref="AC10:AC11" si="1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242" t="s">
        <v>96</v>
      </c>
      <c r="AE10" s="418" t="str">
        <f t="shared" si="6"/>
        <v>El líder del proceso de Gestión Contractual solicita a través de memorando adelantar los procesos de liquidación de los contratos pendientes.</v>
      </c>
      <c r="AF10" s="232" t="s">
        <v>277</v>
      </c>
      <c r="AG10" s="232" t="s">
        <v>366</v>
      </c>
      <c r="AH10" s="354" t="str">
        <f t="shared" si="7"/>
        <v>Enero a Diciembre de 2026</v>
      </c>
      <c r="AI10" s="226" t="s">
        <v>409</v>
      </c>
      <c r="AJ10" s="233" t="s">
        <v>275</v>
      </c>
    </row>
    <row r="11" spans="1:68" ht="217.5" customHeight="1" x14ac:dyDescent="0.2">
      <c r="A11" s="709"/>
      <c r="B11" s="621"/>
      <c r="C11" s="712"/>
      <c r="D11" s="712"/>
      <c r="E11" s="712"/>
      <c r="F11" s="712"/>
      <c r="G11" s="709"/>
      <c r="H11" s="625"/>
      <c r="I11" s="622"/>
      <c r="J11" s="626"/>
      <c r="K11" s="626"/>
      <c r="L11" s="707"/>
      <c r="M11" s="622"/>
      <c r="N11" s="706"/>
      <c r="O11" s="240">
        <v>2</v>
      </c>
      <c r="P11" s="327" t="s">
        <v>453</v>
      </c>
      <c r="Q11" s="220" t="str">
        <f t="shared" si="8"/>
        <v>Probabilidad</v>
      </c>
      <c r="R11" s="221" t="s">
        <v>91</v>
      </c>
      <c r="S11" s="221" t="s">
        <v>92</v>
      </c>
      <c r="T11" s="222" t="str">
        <f t="shared" si="9"/>
        <v>40%</v>
      </c>
      <c r="U11" s="221" t="s">
        <v>104</v>
      </c>
      <c r="V11" s="221" t="s">
        <v>94</v>
      </c>
      <c r="W11" s="221" t="s">
        <v>95</v>
      </c>
      <c r="X11" s="241">
        <f>IFERROR(IF(AND(Q10="Probabilidad",Q11="Probabilidad"),(Z10-(+Z10*T11)),IF(Q11="Probabilidad",(I10-(+I10*T11)),IF(Q11="Impacto",Z10,""))),"")</f>
        <v>0.216</v>
      </c>
      <c r="Y11" s="224" t="str">
        <f t="shared" si="10"/>
        <v>Baja</v>
      </c>
      <c r="Z11" s="222">
        <f t="shared" si="11"/>
        <v>0.216</v>
      </c>
      <c r="AA11" s="224" t="str">
        <f t="shared" si="12"/>
        <v>Moderado</v>
      </c>
      <c r="AB11" s="222">
        <f>IFERROR(IF(AND(Q10="Impacto",Q11="Impacto"),(AB10-(+AB10*T11)),IF(Q11="Impacto",($M$8-(+$M$8*T11)),IF(Q11="Probabilidad",AB10,""))),"")</f>
        <v>0.6</v>
      </c>
      <c r="AC11" s="225" t="str">
        <f t="shared" si="13"/>
        <v>Moderado</v>
      </c>
      <c r="AD11" s="242" t="s">
        <v>96</v>
      </c>
      <c r="AE11" s="418" t="str">
        <f t="shared" si="6"/>
        <v>El líder del proceso de Gestión Contractual requiere, a través de correo electrónico institucional, a los supervisores de los contratos la elaboración, suscripción y radicación del acta de liquidación, mediante comunicación preventiva con una antelación mínima de quince (15) días a la terminación del contrato y, una vez finalizado, dentro de los cinco (5) días siguientes. Así mismo, en caso de inc</v>
      </c>
      <c r="AF11" s="232" t="s">
        <v>277</v>
      </c>
      <c r="AG11" s="232" t="s">
        <v>366</v>
      </c>
      <c r="AH11" s="354" t="str">
        <f t="shared" si="7"/>
        <v>Enero a Diciembre de 2026</v>
      </c>
      <c r="AI11" s="232" t="s">
        <v>410</v>
      </c>
      <c r="AJ11" s="233" t="s">
        <v>275</v>
      </c>
    </row>
    <row r="12" spans="1:68" ht="49.9" customHeight="1" x14ac:dyDescent="0.2">
      <c r="A12" s="292"/>
      <c r="B12" s="680" t="s">
        <v>423</v>
      </c>
      <c r="C12" s="681"/>
      <c r="D12" s="681"/>
      <c r="E12" s="681"/>
      <c r="F12" s="681"/>
      <c r="G12" s="681"/>
      <c r="H12" s="681"/>
      <c r="I12" s="681"/>
      <c r="J12" s="681"/>
      <c r="K12" s="681"/>
      <c r="L12" s="681"/>
      <c r="M12" s="681"/>
      <c r="N12" s="681"/>
      <c r="O12" s="681"/>
      <c r="P12" s="681"/>
      <c r="Q12" s="681"/>
      <c r="R12" s="681"/>
      <c r="S12" s="681"/>
      <c r="T12" s="681"/>
      <c r="U12" s="681"/>
      <c r="V12" s="681"/>
      <c r="W12" s="681"/>
      <c r="X12" s="681"/>
      <c r="Y12" s="681"/>
      <c r="Z12" s="681"/>
      <c r="AA12" s="681"/>
      <c r="AB12" s="681"/>
      <c r="AC12" s="681"/>
      <c r="AD12" s="681"/>
      <c r="AE12" s="681"/>
      <c r="AF12" s="681"/>
      <c r="AG12" s="681"/>
      <c r="AH12" s="681"/>
      <c r="AI12" s="681"/>
      <c r="AJ12" s="682"/>
    </row>
    <row r="13" spans="1:68" ht="15" x14ac:dyDescent="0.2">
      <c r="B13" s="283" t="s">
        <v>106</v>
      </c>
      <c r="C13" s="274"/>
      <c r="D13" s="274"/>
      <c r="F13" s="274"/>
    </row>
  </sheetData>
  <dataConsolidate/>
  <mergeCells count="72">
    <mergeCell ref="N8:N9"/>
    <mergeCell ref="L8:L9"/>
    <mergeCell ref="K8:K9"/>
    <mergeCell ref="J8:J9"/>
    <mergeCell ref="I8:I9"/>
    <mergeCell ref="B10:B11"/>
    <mergeCell ref="A10:A11"/>
    <mergeCell ref="C10:C11"/>
    <mergeCell ref="D10:D11"/>
    <mergeCell ref="E10:E11"/>
    <mergeCell ref="F10:F11"/>
    <mergeCell ref="G10:G11"/>
    <mergeCell ref="G6:G7"/>
    <mergeCell ref="H6:H7"/>
    <mergeCell ref="I6:I7"/>
    <mergeCell ref="G8:G9"/>
    <mergeCell ref="H8:H9"/>
    <mergeCell ref="AJ6:AJ7"/>
    <mergeCell ref="AI6:AI7"/>
    <mergeCell ref="AH6:AH7"/>
    <mergeCell ref="AG6:AG7"/>
    <mergeCell ref="AF6:AF7"/>
    <mergeCell ref="AE6:AE7"/>
    <mergeCell ref="AD6:AD7"/>
    <mergeCell ref="Z6:Z7"/>
    <mergeCell ref="B6:B7"/>
    <mergeCell ref="AC6:AC7"/>
    <mergeCell ref="AB6:AB7"/>
    <mergeCell ref="X6:X7"/>
    <mergeCell ref="P6:P7"/>
    <mergeCell ref="AA6:AA7"/>
    <mergeCell ref="Y6:Y7"/>
    <mergeCell ref="R6:W6"/>
    <mergeCell ref="Q6:Q7"/>
    <mergeCell ref="O6:O7"/>
    <mergeCell ref="N6:N7"/>
    <mergeCell ref="J6:J7"/>
    <mergeCell ref="K6:K7"/>
    <mergeCell ref="L6:L7"/>
    <mergeCell ref="M6:M7"/>
    <mergeCell ref="B12:AJ12"/>
    <mergeCell ref="A1:AJ1"/>
    <mergeCell ref="A5:G5"/>
    <mergeCell ref="H5:N5"/>
    <mergeCell ref="O5:W5"/>
    <mergeCell ref="X5:AD5"/>
    <mergeCell ref="AE5:AJ5"/>
    <mergeCell ref="A2:B2"/>
    <mergeCell ref="A3:B3"/>
    <mergeCell ref="A8:A9"/>
    <mergeCell ref="B8:B9"/>
    <mergeCell ref="C8:C9"/>
    <mergeCell ref="D8:D9"/>
    <mergeCell ref="E8:E9"/>
    <mergeCell ref="A4:B4"/>
    <mergeCell ref="A6:A7"/>
    <mergeCell ref="C2:AJ2"/>
    <mergeCell ref="C3:AJ3"/>
    <mergeCell ref="C4:AJ4"/>
    <mergeCell ref="M10:M11"/>
    <mergeCell ref="N10:N11"/>
    <mergeCell ref="H10:H11"/>
    <mergeCell ref="I10:I11"/>
    <mergeCell ref="J10:J11"/>
    <mergeCell ref="K10:K11"/>
    <mergeCell ref="L10:L11"/>
    <mergeCell ref="F6:F7"/>
    <mergeCell ref="E6:E7"/>
    <mergeCell ref="D6:D7"/>
    <mergeCell ref="C6:C7"/>
    <mergeCell ref="M8:M9"/>
    <mergeCell ref="F8:F9"/>
  </mergeCells>
  <conditionalFormatting sqref="H8">
    <cfRule type="cellIs" dxfId="171" priority="262" operator="equal">
      <formula>"Muy Alta"</formula>
    </cfRule>
    <cfRule type="cellIs" dxfId="170" priority="263" operator="equal">
      <formula>"Alta"</formula>
    </cfRule>
    <cfRule type="cellIs" dxfId="169" priority="264" operator="equal">
      <formula>"Media"</formula>
    </cfRule>
    <cfRule type="cellIs" dxfId="168" priority="265" operator="equal">
      <formula>"Baja"</formula>
    </cfRule>
    <cfRule type="cellIs" dxfId="167" priority="266" operator="equal">
      <formula>"Muy Baja"</formula>
    </cfRule>
  </conditionalFormatting>
  <conditionalFormatting sqref="H10">
    <cfRule type="cellIs" dxfId="166" priority="25" operator="equal">
      <formula>"Muy Alta"</formula>
    </cfRule>
    <cfRule type="cellIs" dxfId="165" priority="26" operator="equal">
      <formula>"Alta"</formula>
    </cfRule>
    <cfRule type="cellIs" dxfId="164" priority="27" operator="equal">
      <formula>"Media"</formula>
    </cfRule>
    <cfRule type="cellIs" dxfId="163" priority="28" operator="equal">
      <formula>"Baja"</formula>
    </cfRule>
    <cfRule type="cellIs" dxfId="162" priority="29" operator="equal">
      <formula>"Muy Baja"</formula>
    </cfRule>
  </conditionalFormatting>
  <conditionalFormatting sqref="L8">
    <cfRule type="cellIs" dxfId="161" priority="31" operator="equal">
      <formula>"Catastrófico"</formula>
    </cfRule>
    <cfRule type="cellIs" dxfId="160" priority="32" operator="equal">
      <formula>"Mayor"</formula>
    </cfRule>
    <cfRule type="cellIs" dxfId="159" priority="33" operator="equal">
      <formula>"Moderado"</formula>
    </cfRule>
    <cfRule type="cellIs" dxfId="158" priority="34" operator="equal">
      <formula>"Menor"</formula>
    </cfRule>
    <cfRule type="cellIs" dxfId="157" priority="35" operator="equal">
      <formula>"Leve"</formula>
    </cfRule>
  </conditionalFormatting>
  <conditionalFormatting sqref="L10">
    <cfRule type="cellIs" dxfId="156" priority="16" operator="equal">
      <formula>"Catastrófico"</formula>
    </cfRule>
    <cfRule type="cellIs" dxfId="155" priority="17" operator="equal">
      <formula>"Mayor"</formula>
    </cfRule>
    <cfRule type="cellIs" dxfId="154" priority="18" operator="equal">
      <formula>"Moderado"</formula>
    </cfRule>
    <cfRule type="cellIs" dxfId="153" priority="19" operator="equal">
      <formula>"Menor"</formula>
    </cfRule>
    <cfRule type="cellIs" dxfId="152" priority="20" operator="equal">
      <formula>"Leve"</formula>
    </cfRule>
  </conditionalFormatting>
  <conditionalFormatting sqref="M8">
    <cfRule type="containsText" dxfId="151" priority="30" operator="containsText" text="❌">
      <formula>NOT(ISERROR(SEARCH("❌",M8)))</formula>
    </cfRule>
  </conditionalFormatting>
  <conditionalFormatting sqref="M10">
    <cfRule type="containsText" dxfId="150" priority="15" operator="containsText" text="❌">
      <formula>NOT(ISERROR(SEARCH("❌",M10)))</formula>
    </cfRule>
  </conditionalFormatting>
  <conditionalFormatting sqref="N8">
    <cfRule type="cellIs" dxfId="149" priority="253" operator="equal">
      <formula>"Extremo"</formula>
    </cfRule>
    <cfRule type="cellIs" dxfId="148" priority="254" operator="equal">
      <formula>"Alto"</formula>
    </cfRule>
    <cfRule type="cellIs" dxfId="147" priority="255" operator="equal">
      <formula>"Moderado"</formula>
    </cfRule>
    <cfRule type="cellIs" dxfId="146" priority="256" operator="equal">
      <formula>"Bajo"</formula>
    </cfRule>
  </conditionalFormatting>
  <conditionalFormatting sqref="N10">
    <cfRule type="cellIs" dxfId="145" priority="21" operator="equal">
      <formula>"Extremo"</formula>
    </cfRule>
    <cfRule type="cellIs" dxfId="144" priority="22" operator="equal">
      <formula>"Alto"</formula>
    </cfRule>
    <cfRule type="cellIs" dxfId="143" priority="23" operator="equal">
      <formula>"Moderado"</formula>
    </cfRule>
    <cfRule type="cellIs" dxfId="142" priority="24" operator="equal">
      <formula>"Bajo"</formula>
    </cfRule>
  </conditionalFormatting>
  <conditionalFormatting sqref="Y8:Y11">
    <cfRule type="cellIs" dxfId="141" priority="10" operator="equal">
      <formula>"Muy Alta"</formula>
    </cfRule>
    <cfRule type="cellIs" dxfId="140" priority="11" operator="equal">
      <formula>"Alta"</formula>
    </cfRule>
    <cfRule type="cellIs" dxfId="139" priority="12" operator="equal">
      <formula>"Media"</formula>
    </cfRule>
    <cfRule type="cellIs" dxfId="138" priority="13" operator="equal">
      <formula>"Baja"</formula>
    </cfRule>
    <cfRule type="cellIs" dxfId="137" priority="14" operator="equal">
      <formula>"Muy Baja"</formula>
    </cfRule>
  </conditionalFormatting>
  <conditionalFormatting sqref="AA8:AA11">
    <cfRule type="cellIs" dxfId="136" priority="5" operator="equal">
      <formula>"Catastrófico"</formula>
    </cfRule>
    <cfRule type="cellIs" dxfId="135" priority="6" operator="equal">
      <formula>"Mayor"</formula>
    </cfRule>
    <cfRule type="cellIs" dxfId="134" priority="7" operator="equal">
      <formula>"Moderado"</formula>
    </cfRule>
    <cfRule type="cellIs" dxfId="133" priority="8" operator="equal">
      <formula>"Menor"</formula>
    </cfRule>
    <cfRule type="cellIs" dxfId="132" priority="9" operator="equal">
      <formula>"Leve"</formula>
    </cfRule>
  </conditionalFormatting>
  <conditionalFormatting sqref="AC8:AC11">
    <cfRule type="cellIs" dxfId="131" priority="1" operator="equal">
      <formula>"Extremo"</formula>
    </cfRule>
    <cfRule type="cellIs" dxfId="130" priority="2" operator="equal">
      <formula>"Alto"</formula>
    </cfRule>
    <cfRule type="cellIs" dxfId="129" priority="3" operator="equal">
      <formula>"Moderado"</formula>
    </cfRule>
    <cfRule type="cellIs" dxfId="128" priority="4"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F8CB3FC-9FF3-4304-BF95-DDA93D97B301}">
          <x14:formula1>
            <xm:f>'Tabla Valoración controles'!$D$13:$D$14</xm:f>
          </x14:formula1>
          <xm:sqref>W8:W11</xm:sqref>
        </x14:dataValidation>
        <x14:dataValidation type="list" allowBlank="1" showInputMessage="1" showErrorMessage="1" xr:uid="{F0CF16E0-9EEB-42D8-8ED2-5E8B27B0D45C}">
          <x14:formula1>
            <xm:f>'Tabla Valoración controles'!$D$11:$D$12</xm:f>
          </x14:formula1>
          <xm:sqref>V8:V11</xm:sqref>
        </x14:dataValidation>
        <x14:dataValidation type="list" allowBlank="1" showInputMessage="1" showErrorMessage="1" xr:uid="{9A398BE1-0BAB-4B2E-9F64-E8B67455150E}">
          <x14:formula1>
            <xm:f>'Tabla Valoración controles'!$D$9:$D$10</xm:f>
          </x14:formula1>
          <xm:sqref>U8:U11</xm:sqref>
        </x14:dataValidation>
        <x14:dataValidation type="list" allowBlank="1" showInputMessage="1" showErrorMessage="1" xr:uid="{70B58257-AEB8-486B-9442-DDC917B8D5D4}">
          <x14:formula1>
            <xm:f>'Tabla Valoración controles'!$D$7:$D$8</xm:f>
          </x14:formula1>
          <xm:sqref>S8:S11</xm:sqref>
        </x14:dataValidation>
        <x14:dataValidation type="list" allowBlank="1" showInputMessage="1" showErrorMessage="1" xr:uid="{5E5943A6-AC08-435C-9E71-DCA0EEBB6FF0}">
          <x14:formula1>
            <xm:f>'Tabla Valoración controles'!$D$4:$D$6</xm:f>
          </x14:formula1>
          <xm:sqref>R8:R11</xm:sqref>
        </x14:dataValidation>
        <x14:dataValidation type="list" allowBlank="1" showInputMessage="1" showErrorMessage="1" xr:uid="{C379265B-7221-49C0-B921-1B3B7E3BEDC0}">
          <x14:formula1>
            <xm:f>'Tabla Impacto'!$I$3:$I$8</xm:f>
          </x14:formula1>
          <xm:sqref>B8:B11</xm:sqref>
        </x14:dataValidation>
        <x14:dataValidation type="list" allowBlank="1" showInputMessage="1" showErrorMessage="1" xr:uid="{3021FDE3-A715-4E38-A772-02D38B3A150E}">
          <x14:formula1>
            <xm:f>'Tabla Impacto'!$B$3:$B$8</xm:f>
          </x14:formula1>
          <xm:sqref>L8 L10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tabColor rgb="FF00B050"/>
  </sheetPr>
  <dimension ref="A1:BQ13"/>
  <sheetViews>
    <sheetView topLeftCell="A3" zoomScale="60" zoomScaleNormal="60" workbookViewId="0">
      <selection activeCell="P8" sqref="P8"/>
    </sheetView>
  </sheetViews>
  <sheetFormatPr baseColWidth="10" defaultColWidth="11.28515625" defaultRowHeight="14.25" x14ac:dyDescent="0.2"/>
  <cols>
    <col min="1" max="1" width="9.28515625" style="281" customWidth="1"/>
    <col min="2" max="2" width="14.140625" style="281" customWidth="1"/>
    <col min="3" max="3" width="20.85546875" style="281" customWidth="1"/>
    <col min="4" max="4" width="23.140625" style="281" customWidth="1"/>
    <col min="5" max="5" width="38.28515625" style="274" customWidth="1"/>
    <col min="6" max="6" width="19.28515625" style="282" customWidth="1"/>
    <col min="7" max="7" width="17.85546875" style="274" customWidth="1"/>
    <col min="8" max="8" width="16.28515625" style="274" customWidth="1"/>
    <col min="9" max="9" width="6.28515625" style="274" bestFit="1" customWidth="1"/>
    <col min="10" max="10" width="18.28515625" style="274" customWidth="1"/>
    <col min="11" max="11" width="19" style="274" customWidth="1"/>
    <col min="12" max="12" width="16.140625" style="274" customWidth="1"/>
    <col min="13" max="13" width="6.28515625" style="274" bestFit="1" customWidth="1"/>
    <col min="14" max="14" width="16" style="274" customWidth="1"/>
    <col min="15" max="15" width="5.85546875" style="274" customWidth="1"/>
    <col min="16" max="16" width="51.7109375" style="293" customWidth="1"/>
    <col min="17" max="17" width="62.85546875" style="274" hidden="1" customWidth="1"/>
    <col min="18" max="18" width="15.140625" style="274" bestFit="1" customWidth="1"/>
    <col min="19" max="19" width="6.85546875" style="274" customWidth="1"/>
    <col min="20" max="20" width="5" style="274" customWidth="1"/>
    <col min="21" max="21" width="5.28515625" style="274" customWidth="1"/>
    <col min="22" max="22" width="7.140625" style="274" customWidth="1"/>
    <col min="23" max="23" width="6.7109375" style="274" customWidth="1"/>
    <col min="24" max="24" width="7.28515625" style="274" customWidth="1"/>
    <col min="25" max="25" width="8.28515625" style="274" customWidth="1"/>
    <col min="26" max="26" width="8.7109375" style="274" customWidth="1"/>
    <col min="27" max="27" width="10.28515625" style="274" customWidth="1"/>
    <col min="28" max="28" width="9.28515625" style="274" customWidth="1"/>
    <col min="29" max="29" width="9.140625" style="274" customWidth="1"/>
    <col min="30" max="30" width="8.28515625" style="274" customWidth="1"/>
    <col min="31" max="31" width="14.140625" style="274" customWidth="1"/>
    <col min="32" max="32" width="41" style="274" customWidth="1"/>
    <col min="33" max="33" width="20.28515625" style="274" customWidth="1"/>
    <col min="34" max="34" width="16.85546875" style="274" customWidth="1"/>
    <col min="35" max="35" width="14.85546875" style="274" customWidth="1"/>
    <col min="36" max="36" width="27.140625" style="274" customWidth="1"/>
    <col min="37" max="37" width="21" style="274" customWidth="1"/>
    <col min="38" max="16384" width="11.28515625" style="274"/>
  </cols>
  <sheetData>
    <row r="1" spans="1:69" ht="39.75" customHeight="1" x14ac:dyDescent="0.2">
      <c r="A1" s="608" t="s">
        <v>60</v>
      </c>
      <c r="B1" s="608"/>
      <c r="C1" s="608"/>
      <c r="D1" s="608"/>
      <c r="E1" s="608"/>
      <c r="F1" s="608"/>
      <c r="G1" s="608"/>
      <c r="H1" s="608"/>
      <c r="I1" s="608"/>
      <c r="J1" s="608"/>
      <c r="K1" s="608"/>
      <c r="L1" s="608"/>
      <c r="M1" s="608"/>
      <c r="N1" s="608"/>
      <c r="O1" s="608"/>
      <c r="P1" s="608"/>
      <c r="Q1" s="608"/>
      <c r="R1" s="608"/>
      <c r="S1" s="608"/>
      <c r="T1" s="608"/>
      <c r="U1" s="608"/>
      <c r="V1" s="608"/>
      <c r="W1" s="608"/>
      <c r="X1" s="608"/>
      <c r="Y1" s="608"/>
      <c r="Z1" s="608"/>
      <c r="AA1" s="608"/>
      <c r="AB1" s="608"/>
      <c r="AC1" s="608"/>
      <c r="AD1" s="608"/>
      <c r="AE1" s="608"/>
      <c r="AF1" s="608"/>
      <c r="AG1" s="608"/>
      <c r="AH1" s="608"/>
      <c r="AI1" s="608"/>
      <c r="AJ1" s="608"/>
      <c r="AK1" s="608"/>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273"/>
      <c r="BM1" s="273"/>
      <c r="BN1" s="273"/>
      <c r="BO1" s="273"/>
      <c r="BP1" s="273"/>
      <c r="BQ1" s="273"/>
    </row>
    <row r="2" spans="1:69" ht="50.25" customHeight="1" x14ac:dyDescent="0.2">
      <c r="A2" s="610" t="s">
        <v>61</v>
      </c>
      <c r="B2" s="610"/>
      <c r="C2" s="713" t="s">
        <v>428</v>
      </c>
      <c r="D2" s="713"/>
      <c r="E2" s="713"/>
      <c r="F2" s="713"/>
      <c r="G2" s="713"/>
      <c r="H2" s="713"/>
      <c r="I2" s="713"/>
      <c r="J2" s="713"/>
      <c r="K2" s="713"/>
      <c r="L2" s="713"/>
      <c r="M2" s="713"/>
      <c r="N2" s="713"/>
      <c r="O2" s="713"/>
      <c r="P2" s="713"/>
      <c r="Q2" s="713"/>
      <c r="R2" s="713"/>
      <c r="S2" s="713"/>
      <c r="T2" s="713"/>
      <c r="U2" s="713"/>
      <c r="V2" s="713"/>
      <c r="W2" s="713"/>
      <c r="X2" s="713"/>
      <c r="Y2" s="713"/>
      <c r="Z2" s="713"/>
      <c r="AA2" s="713"/>
      <c r="AB2" s="713"/>
      <c r="AC2" s="713"/>
      <c r="AD2" s="713"/>
      <c r="AE2" s="713"/>
      <c r="AF2" s="713"/>
      <c r="AG2" s="713"/>
      <c r="AH2" s="713"/>
      <c r="AI2" s="713"/>
      <c r="AJ2" s="713"/>
      <c r="AK2" s="71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c r="BQ2" s="273"/>
    </row>
    <row r="3" spans="1:69" ht="47.25" customHeight="1" x14ac:dyDescent="0.2">
      <c r="A3" s="610" t="s">
        <v>62</v>
      </c>
      <c r="B3" s="610"/>
      <c r="C3" s="713" t="s">
        <v>261</v>
      </c>
      <c r="D3" s="713"/>
      <c r="E3" s="713"/>
      <c r="F3" s="713"/>
      <c r="G3" s="713"/>
      <c r="H3" s="713"/>
      <c r="I3" s="713"/>
      <c r="J3" s="713"/>
      <c r="K3" s="713"/>
      <c r="L3" s="713"/>
      <c r="M3" s="713"/>
      <c r="N3" s="713"/>
      <c r="O3" s="713"/>
      <c r="P3" s="713"/>
      <c r="Q3" s="713"/>
      <c r="R3" s="713"/>
      <c r="S3" s="713"/>
      <c r="T3" s="713"/>
      <c r="U3" s="713"/>
      <c r="V3" s="713"/>
      <c r="W3" s="713"/>
      <c r="X3" s="713"/>
      <c r="Y3" s="713"/>
      <c r="Z3" s="713"/>
      <c r="AA3" s="713"/>
      <c r="AB3" s="713"/>
      <c r="AC3" s="713"/>
      <c r="AD3" s="713"/>
      <c r="AE3" s="713"/>
      <c r="AF3" s="713"/>
      <c r="AG3" s="713"/>
      <c r="AH3" s="713"/>
      <c r="AI3" s="713"/>
      <c r="AJ3" s="713"/>
      <c r="AK3" s="71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c r="BJ3" s="273"/>
      <c r="BK3" s="273"/>
      <c r="BL3" s="273"/>
      <c r="BM3" s="273"/>
      <c r="BN3" s="273"/>
      <c r="BO3" s="273"/>
      <c r="BP3" s="273"/>
      <c r="BQ3" s="273"/>
    </row>
    <row r="4" spans="1:69" ht="49.9" customHeight="1" x14ac:dyDescent="0.2">
      <c r="A4" s="610" t="s">
        <v>63</v>
      </c>
      <c r="B4" s="610"/>
      <c r="C4" s="670" t="s">
        <v>478</v>
      </c>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1"/>
      <c r="AK4" s="671"/>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c r="BQ4" s="273"/>
    </row>
    <row r="5" spans="1:69" ht="48.75" customHeight="1" x14ac:dyDescent="0.2">
      <c r="A5" s="613" t="s">
        <v>64</v>
      </c>
      <c r="B5" s="613"/>
      <c r="C5" s="613"/>
      <c r="D5" s="613"/>
      <c r="E5" s="613"/>
      <c r="F5" s="613"/>
      <c r="G5" s="613"/>
      <c r="H5" s="611" t="s">
        <v>65</v>
      </c>
      <c r="I5" s="611"/>
      <c r="J5" s="611"/>
      <c r="K5" s="611"/>
      <c r="L5" s="611"/>
      <c r="M5" s="611"/>
      <c r="N5" s="611"/>
      <c r="O5" s="613" t="s">
        <v>66</v>
      </c>
      <c r="P5" s="613"/>
      <c r="Q5" s="613"/>
      <c r="R5" s="613"/>
      <c r="S5" s="613"/>
      <c r="T5" s="613"/>
      <c r="U5" s="613"/>
      <c r="V5" s="613"/>
      <c r="W5" s="613"/>
      <c r="X5" s="613"/>
      <c r="Y5" s="611" t="s">
        <v>67</v>
      </c>
      <c r="Z5" s="611"/>
      <c r="AA5" s="611"/>
      <c r="AB5" s="611"/>
      <c r="AC5" s="611"/>
      <c r="AD5" s="611"/>
      <c r="AE5" s="611"/>
      <c r="AF5" s="613" t="s">
        <v>68</v>
      </c>
      <c r="AG5" s="613"/>
      <c r="AH5" s="613"/>
      <c r="AI5" s="613"/>
      <c r="AJ5" s="613"/>
      <c r="AK5" s="61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c r="BQ5" s="273"/>
    </row>
    <row r="6" spans="1:69" ht="31.9" customHeight="1" x14ac:dyDescent="0.2">
      <c r="A6" s="614" t="s">
        <v>69</v>
      </c>
      <c r="B6" s="613" t="s">
        <v>15</v>
      </c>
      <c r="C6" s="615" t="s">
        <v>17</v>
      </c>
      <c r="D6" s="615" t="s">
        <v>19</v>
      </c>
      <c r="E6" s="613" t="s">
        <v>21</v>
      </c>
      <c r="F6" s="615" t="s">
        <v>23</v>
      </c>
      <c r="G6" s="615" t="s">
        <v>70</v>
      </c>
      <c r="H6" s="615" t="s">
        <v>71</v>
      </c>
      <c r="I6" s="613" t="s">
        <v>72</v>
      </c>
      <c r="J6" s="615" t="s">
        <v>73</v>
      </c>
      <c r="K6" s="615" t="s">
        <v>74</v>
      </c>
      <c r="L6" s="615" t="s">
        <v>75</v>
      </c>
      <c r="M6" s="613" t="s">
        <v>72</v>
      </c>
      <c r="N6" s="615" t="s">
        <v>29</v>
      </c>
      <c r="O6" s="612" t="s">
        <v>76</v>
      </c>
      <c r="P6" s="615" t="s">
        <v>31</v>
      </c>
      <c r="Q6" s="615" t="s">
        <v>31</v>
      </c>
      <c r="R6" s="615" t="s">
        <v>33</v>
      </c>
      <c r="S6" s="615" t="s">
        <v>77</v>
      </c>
      <c r="T6" s="615"/>
      <c r="U6" s="615"/>
      <c r="V6" s="615"/>
      <c r="W6" s="615"/>
      <c r="X6" s="615"/>
      <c r="Y6" s="612" t="s">
        <v>78</v>
      </c>
      <c r="Z6" s="612" t="s">
        <v>79</v>
      </c>
      <c r="AA6" s="612" t="s">
        <v>72</v>
      </c>
      <c r="AB6" s="612" t="s">
        <v>80</v>
      </c>
      <c r="AC6" s="612" t="s">
        <v>72</v>
      </c>
      <c r="AD6" s="612" t="s">
        <v>81</v>
      </c>
      <c r="AE6" s="612" t="s">
        <v>49</v>
      </c>
      <c r="AF6" s="615" t="s">
        <v>68</v>
      </c>
      <c r="AG6" s="615" t="s">
        <v>82</v>
      </c>
      <c r="AH6" s="615" t="s">
        <v>264</v>
      </c>
      <c r="AI6" s="615" t="s">
        <v>265</v>
      </c>
      <c r="AJ6" s="615" t="s">
        <v>262</v>
      </c>
      <c r="AK6" s="615" t="s">
        <v>263</v>
      </c>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c r="BQ6" s="273"/>
    </row>
    <row r="7" spans="1:69" s="277" customFormat="1" ht="92.25" customHeight="1" x14ac:dyDescent="0.25">
      <c r="A7" s="614"/>
      <c r="B7" s="613"/>
      <c r="C7" s="615"/>
      <c r="D7" s="615"/>
      <c r="E7" s="613"/>
      <c r="F7" s="615"/>
      <c r="G7" s="615"/>
      <c r="H7" s="615"/>
      <c r="I7" s="613"/>
      <c r="J7" s="615"/>
      <c r="K7" s="615"/>
      <c r="L7" s="613"/>
      <c r="M7" s="613"/>
      <c r="N7" s="615"/>
      <c r="O7" s="612"/>
      <c r="P7" s="615"/>
      <c r="Q7" s="615"/>
      <c r="R7" s="615"/>
      <c r="S7" s="269" t="s">
        <v>83</v>
      </c>
      <c r="T7" s="269" t="s">
        <v>84</v>
      </c>
      <c r="U7" s="269" t="s">
        <v>85</v>
      </c>
      <c r="V7" s="269" t="s">
        <v>86</v>
      </c>
      <c r="W7" s="269" t="s">
        <v>87</v>
      </c>
      <c r="X7" s="269" t="s">
        <v>88</v>
      </c>
      <c r="Y7" s="612"/>
      <c r="Z7" s="612"/>
      <c r="AA7" s="612"/>
      <c r="AB7" s="612"/>
      <c r="AC7" s="612"/>
      <c r="AD7" s="612"/>
      <c r="AE7" s="612"/>
      <c r="AF7" s="615"/>
      <c r="AG7" s="615"/>
      <c r="AH7" s="615"/>
      <c r="AI7" s="615"/>
      <c r="AJ7" s="615"/>
      <c r="AK7" s="615"/>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6"/>
    </row>
    <row r="8" spans="1:69" s="298" customFormat="1" ht="141.6" customHeight="1" x14ac:dyDescent="0.25">
      <c r="A8" s="709">
        <v>1</v>
      </c>
      <c r="B8" s="621" t="s">
        <v>320</v>
      </c>
      <c r="C8" s="626" t="s">
        <v>357</v>
      </c>
      <c r="D8" s="626" t="s">
        <v>356</v>
      </c>
      <c r="E8" s="621" t="s">
        <v>383</v>
      </c>
      <c r="F8" s="621" t="s">
        <v>101</v>
      </c>
      <c r="G8" s="624">
        <v>365</v>
      </c>
      <c r="H8" s="625" t="str">
        <f>IF(G8&lt;=0,"",IF(G8&lt;=2,"Muy Baja",IF(G8&lt;=24,"Baja",IF(G8&lt;=500,"Media",IF(G8&lt;=5000,"Alta","Muy Alta")))))</f>
        <v>Media</v>
      </c>
      <c r="I8" s="622">
        <f>IF(H8="","",IF(H8="Muy Baja",0.2,IF(H8="Baja",0.4,IF(H8="Media",0.6,IF(H8="Alta",0.8,IF(H8="Muy Alta",1,))))))</f>
        <v>0.6</v>
      </c>
      <c r="J8" s="626"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 con una posible afectación entre 50 y 100 SMLMV.</v>
      </c>
      <c r="K8" s="626"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 con una posible afectación entre 50 y 100 SMLMV.</v>
      </c>
      <c r="L8" s="707" t="s">
        <v>114</v>
      </c>
      <c r="M8" s="622">
        <f>VLOOKUP(L8,'Tabla Impacto'!$B$4:$G$8,6,0)</f>
        <v>0.6</v>
      </c>
      <c r="N8" s="706" t="str">
        <f>IF(OR(AND(H8="Muy Baja",L8="Leve"),AND(H8="Muy Baja",L8="Menor"),AND(H8="Baja",L8="Leve")),"Bajo",IF(OR(AND(H8="Muy baja",L8="Moderado"),AND(H8="Baja",L8="Menor"),AND(H8="Baja",L8="Moderado"),AND(H8="Media",L8="Leve"),AND(H8="Media",L8="Menor"),AND(H8="Media",L8="Moderado"),AND(H8="Alta",L8="Leve"),AND(H8="Alta",L8="Menor")),"Moderado",IF(OR(AND(H8="Muy Baja",L8="Mayor"),AND(H8="Baja",L8="Mayor"),AND(H8="Media",L8="Mayor"),AND(H8="Alta",L8="Moderado"),AND(H8="Alta",L8="Mayor"),AND(H8="Muy Alta",L8="Leve"),AND(H8="Muy Alta",L8="Menor"),AND(H8="Muy Alta",L8="Moderado"),AND(H8="Muy Alta",L8="Mayor")),"Alto",IF(OR(AND(H8="Muy Baja",L8="Catastrófico"),AND(H8="Baja",L8="Catastrófico"),AND(H8="Media",L8="Catastrófico"),AND(H8="Alta",L8="Catastrófico"),AND(H8="Muy Alta",L8="Catastrófico")),"Extremo",""))))</f>
        <v>Moderado</v>
      </c>
      <c r="O8" s="240">
        <v>1</v>
      </c>
      <c r="P8" s="256" t="s">
        <v>476</v>
      </c>
      <c r="Q8" s="257" t="s">
        <v>323</v>
      </c>
      <c r="R8" s="220" t="str">
        <f t="shared" ref="R8:R9" si="0">IF(OR(S8="Preventivo",S8="Detectivo"),"Probabilidad",IF(S8="Correctivo","Impacto",""))</f>
        <v>Probabilidad</v>
      </c>
      <c r="S8" s="221" t="s">
        <v>97</v>
      </c>
      <c r="T8" s="221" t="s">
        <v>92</v>
      </c>
      <c r="U8" s="222" t="str">
        <f>IF(AND(S8="Preventivo",T8="Automático"),"50%",IF(AND(S8="Preventivo",T8="Manual"),"40%",IF(AND(S8="Detectivo",T8="Automático"),"40%",IF(AND(S8="Detectivo",T8="Manual"),"30%",IF(AND(S8="Correctivo",T8="Automático"),"35%",IF(AND(S8="Correctivo",T8="Manual"),"25%",""))))))</f>
        <v>30%</v>
      </c>
      <c r="V8" s="221" t="s">
        <v>93</v>
      </c>
      <c r="W8" s="221" t="s">
        <v>94</v>
      </c>
      <c r="X8" s="221" t="s">
        <v>95</v>
      </c>
      <c r="Y8" s="223">
        <f>IFERROR(IF(R8="Probabilidad",(I8-(+I8*U8)),IF(R8="Impacto",I8,"")),"")</f>
        <v>0.42</v>
      </c>
      <c r="Z8" s="224" t="str">
        <f>IFERROR(IF(Y8="","",IF(Y8&lt;=0.2,"Muy Baja",IF(Y8&lt;=0.4,"Baja",IF(Y8&lt;=0.6,"Media",IF(Y8&lt;=0.8,"Alta","Muy Alta"))))),"")</f>
        <v>Media</v>
      </c>
      <c r="AA8" s="222">
        <f>+Y8</f>
        <v>0.42</v>
      </c>
      <c r="AB8" s="224" t="str">
        <f>IFERROR(IF(AC8="","",IF(AC8&lt;=0.2,"Leve",IF(AC8&lt;=0.4,"Menor",IF(AC8&lt;=0.6,"Moderado",IF(AC8&lt;=0.8,"Mayor","Catastrófico"))))),"")</f>
        <v>Moderado</v>
      </c>
      <c r="AC8" s="222">
        <f>IFERROR(IF(R8="Impacto",(M8-(+M8*U8)),IF(R8="Probabilidad",M8,"")),"")</f>
        <v>0.6</v>
      </c>
      <c r="AD8" s="225" t="str">
        <f>IFERROR(IF(OR(AND(Z8="Muy Baja",AB8="Leve"),AND(Z8="Muy Baja",AB8="Menor"),AND(Z8="Baja",AB8="Leve")),"Bajo",IF(OR(AND(Z8="Muy baja",AB8="Moderado"),AND(Z8="Baja",AB8="Menor"),AND(Z8="Baja",AB8="Moderado"),AND(Z8="Media",AB8="Leve"),AND(Z8="Media",AB8="Menor"),AND(Z8="Media",AB8="Moderado"),AND(Z8="Alta",AB8="Leve"),AND(Z8="Alta",AB8="Menor")),"Moderado",IF(OR(AND(Z8="Muy Baja",AB8="Mayor"),AND(Z8="Baja",AB8="Mayor"),AND(Z8="Media",AB8="Mayor"),AND(Z8="Alta",AB8="Moderado"),AND(Z8="Alta",AB8="Mayor"),AND(Z8="Muy Alta",AB8="Leve"),AND(Z8="Muy Alta",AB8="Menor"),AND(Z8="Muy Alta",AB8="Moderado"),AND(Z8="Muy Alta",AB8="Mayor")),"Alto",IF(OR(AND(Z8="Muy Baja",AB8="Catastrófico"),AND(Z8="Baja",AB8="Catastrófico"),AND(Z8="Media",AB8="Catastrófico"),AND(Z8="Alta",AB8="Catastrófico"),AND(Z8="Muy Alta",AB8="Catastrófico")),"Extremo","")))),"")</f>
        <v>Moderado</v>
      </c>
      <c r="AE8" s="221"/>
      <c r="AF8" s="354" t="str">
        <f>MID(P8,89,400)</f>
        <v>gestiona el proceso judicial registrado en la plataforma de la rama judicial, dos veces en la semana en el historial del proceso.</v>
      </c>
      <c r="AG8" s="232" t="s">
        <v>355</v>
      </c>
      <c r="AH8" s="226" t="s">
        <v>379</v>
      </c>
      <c r="AI8" s="226" t="str">
        <f>AH8</f>
        <v>Enero a Diciembre
2026</v>
      </c>
      <c r="AJ8" s="226" t="s">
        <v>380</v>
      </c>
      <c r="AK8" s="233" t="s">
        <v>268</v>
      </c>
      <c r="AL8" s="297"/>
      <c r="AM8" s="297"/>
      <c r="AN8" s="297"/>
      <c r="AO8" s="297"/>
      <c r="AP8" s="297"/>
      <c r="AQ8" s="297"/>
      <c r="AR8" s="297"/>
      <c r="AS8" s="297"/>
      <c r="AT8" s="297"/>
      <c r="AU8" s="297"/>
      <c r="AV8" s="297"/>
      <c r="AW8" s="297"/>
      <c r="AX8" s="297"/>
      <c r="AY8" s="297"/>
      <c r="AZ8" s="297"/>
      <c r="BA8" s="297"/>
      <c r="BB8" s="297"/>
      <c r="BC8" s="297"/>
      <c r="BD8" s="297"/>
      <c r="BE8" s="297"/>
      <c r="BF8" s="297"/>
      <c r="BG8" s="297"/>
      <c r="BH8" s="297"/>
      <c r="BI8" s="297"/>
      <c r="BJ8" s="297"/>
      <c r="BK8" s="297"/>
      <c r="BL8" s="297"/>
      <c r="BM8" s="297"/>
      <c r="BN8" s="297"/>
      <c r="BO8" s="297"/>
      <c r="BP8" s="297"/>
      <c r="BQ8" s="297"/>
    </row>
    <row r="9" spans="1:69" s="300" customFormat="1" ht="151.5" customHeight="1" x14ac:dyDescent="0.2">
      <c r="A9" s="709"/>
      <c r="B9" s="621"/>
      <c r="C9" s="626"/>
      <c r="D9" s="626"/>
      <c r="E9" s="621"/>
      <c r="F9" s="621"/>
      <c r="G9" s="624"/>
      <c r="H9" s="625"/>
      <c r="I9" s="622"/>
      <c r="J9" s="626"/>
      <c r="K9" s="626"/>
      <c r="L9" s="707"/>
      <c r="M9" s="622"/>
      <c r="N9" s="706"/>
      <c r="O9" s="240">
        <v>2</v>
      </c>
      <c r="P9" s="256" t="s">
        <v>384</v>
      </c>
      <c r="Q9" s="257" t="s">
        <v>477</v>
      </c>
      <c r="R9" s="220" t="str">
        <f t="shared" si="0"/>
        <v>Probabilidad</v>
      </c>
      <c r="S9" s="221" t="s">
        <v>91</v>
      </c>
      <c r="T9" s="221" t="s">
        <v>92</v>
      </c>
      <c r="U9" s="222" t="str">
        <f t="shared" ref="U9" si="1">IF(AND(S9="Preventivo",T9="Automático"),"50%",IF(AND(S9="Preventivo",T9="Manual"),"40%",IF(AND(S9="Detectivo",T9="Automático"),"40%",IF(AND(S9="Detectivo",T9="Manual"),"30%",IF(AND(S9="Correctivo",T9="Automático"),"35%",IF(AND(S9="Correctivo",T9="Manual"),"25%",""))))))</f>
        <v>40%</v>
      </c>
      <c r="V9" s="221" t="s">
        <v>93</v>
      </c>
      <c r="W9" s="221" t="s">
        <v>99</v>
      </c>
      <c r="X9" s="221" t="s">
        <v>95</v>
      </c>
      <c r="Y9" s="223">
        <f>IFERROR(IF(AND(R8="Probabilidad",R9="Probabilidad"),(AA8-(+AA8*U9)),IF(R9="Probabilidad",(I8-(+I8*U9)),IF(R9="Impacto",AA8,""))),"")</f>
        <v>0.252</v>
      </c>
      <c r="Z9" s="224" t="str">
        <f t="shared" ref="Z9" si="2">IFERROR(IF(Y9="","",IF(Y9&lt;=0.2,"Muy Baja",IF(Y9&lt;=0.4,"Baja",IF(Y9&lt;=0.6,"Media",IF(Y9&lt;=0.8,"Alta","Muy Alta"))))),"")</f>
        <v>Baja</v>
      </c>
      <c r="AA9" s="222">
        <f t="shared" ref="AA9" si="3">+Y9</f>
        <v>0.252</v>
      </c>
      <c r="AB9" s="224" t="str">
        <f t="shared" ref="AB9" si="4">IFERROR(IF(AC9="","",IF(AC9&lt;=0.2,"Leve",IF(AC9&lt;=0.4,"Menor",IF(AC9&lt;=0.6,"Moderado",IF(AC9&lt;=0.8,"Mayor","Catastrófico"))))),"")</f>
        <v>Moderado</v>
      </c>
      <c r="AC9" s="222">
        <f>IFERROR(IF(AND(R8="Impacto",R9="Impacto"),(AC8-(+AC8*U9)),IF(R9="Impacto",($M$8-(+$M$8*U9)),IF(R9="Probabilidad",AC8,""))),"")</f>
        <v>0.6</v>
      </c>
      <c r="AD9" s="225" t="str">
        <f t="shared" ref="AD9" si="5">IFERROR(IF(OR(AND(Z9="Muy Baja",AB9="Leve"),AND(Z9="Muy Baja",AB9="Menor"),AND(Z9="Baja",AB9="Leve")),"Bajo",IF(OR(AND(Z9="Muy baja",AB9="Moderado"),AND(Z9="Baja",AB9="Menor"),AND(Z9="Baja",AB9="Moderado"),AND(Z9="Media",AB9="Leve"),AND(Z9="Media",AB9="Menor"),AND(Z9="Media",AB9="Moderado"),AND(Z9="Alta",AB9="Leve"),AND(Z9="Alta",AB9="Menor")),"Moderado",IF(OR(AND(Z9="Muy Baja",AB9="Mayor"),AND(Z9="Baja",AB9="Mayor"),AND(Z9="Media",AB9="Mayor"),AND(Z9="Alta",AB9="Moderado"),AND(Z9="Alta",AB9="Mayor"),AND(Z9="Muy Alta",AB9="Leve"),AND(Z9="Muy Alta",AB9="Menor"),AND(Z9="Muy Alta",AB9="Moderado"),AND(Z9="Muy Alta",AB9="Mayor")),"Alto",IF(OR(AND(Z9="Muy Baja",AB9="Catastrófico"),AND(Z9="Baja",AB9="Catastrófico"),AND(Z9="Media",AB9="Catastrófico"),AND(Z9="Alta",AB9="Catastrófico"),AND(Z9="Muy Alta",AB9="Catastrófico")),"Extremo","")))),"")</f>
        <v>Moderado</v>
      </c>
      <c r="AE9" s="221"/>
      <c r="AF9" s="354" t="str">
        <f>MID(P9,40,400)</f>
        <v xml:space="preserve"> realiza el seguimiento a la alerta  de respuesta de los procesos judiciales dos veces a la semana de acuerdo con lo definido en el procedimiento vigente en el SIG y el soporte definido para tal fin.</v>
      </c>
      <c r="AG9" s="232" t="s">
        <v>355</v>
      </c>
      <c r="AH9" s="226" t="s">
        <v>366</v>
      </c>
      <c r="AI9" s="226" t="str">
        <f>AH9</f>
        <v>Enero a Diciembre de 2026</v>
      </c>
      <c r="AJ9" s="232" t="s">
        <v>381</v>
      </c>
      <c r="AK9" s="233" t="s">
        <v>268</v>
      </c>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row>
    <row r="10" spans="1:69" ht="15.75" x14ac:dyDescent="0.2">
      <c r="A10" s="119"/>
      <c r="B10" s="147"/>
      <c r="C10" s="239"/>
      <c r="D10" s="239"/>
      <c r="G10" s="238"/>
      <c r="H10" s="237"/>
      <c r="I10" s="236"/>
      <c r="J10" s="235"/>
      <c r="K10" s="235"/>
      <c r="L10" s="148"/>
      <c r="M10" s="234"/>
      <c r="N10" s="149"/>
      <c r="O10" s="243"/>
      <c r="P10" s="244"/>
      <c r="Q10" s="245"/>
      <c r="R10" s="246"/>
      <c r="S10" s="247"/>
      <c r="T10" s="247"/>
      <c r="U10" s="248"/>
      <c r="V10" s="247"/>
      <c r="W10" s="247"/>
      <c r="X10" s="247"/>
      <c r="Y10" s="249"/>
      <c r="Z10" s="250"/>
      <c r="AA10" s="251"/>
      <c r="AB10" s="250"/>
      <c r="AC10" s="251"/>
      <c r="AD10" s="252"/>
      <c r="AE10" s="253"/>
      <c r="AF10" s="238"/>
      <c r="AG10" s="239"/>
      <c r="AH10" s="254"/>
      <c r="AI10" s="254"/>
      <c r="AJ10" s="239"/>
      <c r="AK10" s="255"/>
      <c r="AL10" s="273"/>
      <c r="AM10" s="273"/>
      <c r="AN10" s="273"/>
      <c r="AO10" s="273"/>
      <c r="AP10" s="273"/>
      <c r="AQ10" s="273"/>
      <c r="AR10" s="273"/>
      <c r="AS10" s="273"/>
      <c r="AT10" s="273"/>
      <c r="AU10" s="273"/>
      <c r="AV10" s="273"/>
      <c r="AW10" s="273"/>
      <c r="AX10" s="273"/>
      <c r="AY10" s="273"/>
      <c r="AZ10" s="273"/>
      <c r="BA10" s="273"/>
      <c r="BB10" s="273"/>
      <c r="BC10" s="273"/>
      <c r="BD10" s="273"/>
      <c r="BE10" s="273"/>
      <c r="BF10" s="273"/>
      <c r="BG10" s="273"/>
      <c r="BH10" s="273"/>
      <c r="BI10" s="273"/>
      <c r="BJ10" s="273"/>
      <c r="BK10" s="273"/>
      <c r="BL10" s="273"/>
      <c r="BM10" s="273"/>
      <c r="BN10" s="273"/>
      <c r="BO10" s="273"/>
      <c r="BP10" s="273"/>
      <c r="BQ10" s="273"/>
    </row>
    <row r="11" spans="1:69" ht="49.9" customHeight="1" x14ac:dyDescent="0.2">
      <c r="A11" s="280"/>
      <c r="B11" s="617" t="s">
        <v>423</v>
      </c>
      <c r="C11" s="618"/>
      <c r="D11" s="618"/>
      <c r="E11" s="618"/>
      <c r="F11" s="618"/>
      <c r="G11" s="618"/>
      <c r="H11" s="618"/>
      <c r="I11" s="618"/>
      <c r="J11" s="618"/>
      <c r="K11" s="618"/>
      <c r="L11" s="618"/>
      <c r="M11" s="618"/>
      <c r="N11" s="618"/>
      <c r="O11" s="618"/>
      <c r="P11" s="618"/>
      <c r="Q11" s="618"/>
      <c r="R11" s="618"/>
      <c r="S11" s="618"/>
      <c r="T11" s="618"/>
      <c r="U11" s="618"/>
      <c r="V11" s="618"/>
      <c r="W11" s="618"/>
      <c r="X11" s="618"/>
      <c r="Y11" s="618"/>
      <c r="Z11" s="618"/>
      <c r="AA11" s="618"/>
      <c r="AB11" s="618"/>
      <c r="AC11" s="618"/>
      <c r="AD11" s="618"/>
      <c r="AE11" s="618"/>
      <c r="AF11" s="618"/>
      <c r="AG11" s="618"/>
      <c r="AH11" s="618"/>
      <c r="AI11" s="618"/>
      <c r="AJ11" s="618"/>
      <c r="AK11" s="619"/>
    </row>
    <row r="13" spans="1:69" ht="15" x14ac:dyDescent="0.2">
      <c r="A13" s="274"/>
      <c r="B13" s="283" t="s">
        <v>106</v>
      </c>
      <c r="C13" s="274"/>
      <c r="D13" s="274"/>
      <c r="F13" s="274"/>
    </row>
  </sheetData>
  <dataConsolidate/>
  <mergeCells count="59">
    <mergeCell ref="C8:C9"/>
    <mergeCell ref="B8:B9"/>
    <mergeCell ref="A8:A9"/>
    <mergeCell ref="B11:AK11"/>
    <mergeCell ref="N8:N9"/>
    <mergeCell ref="M8:M9"/>
    <mergeCell ref="L8:L9"/>
    <mergeCell ref="K8:K9"/>
    <mergeCell ref="J8:J9"/>
    <mergeCell ref="I8:I9"/>
    <mergeCell ref="H8:H9"/>
    <mergeCell ref="G8:G9"/>
    <mergeCell ref="F8:F9"/>
    <mergeCell ref="E8:E9"/>
    <mergeCell ref="D8:D9"/>
    <mergeCell ref="K6:K7"/>
    <mergeCell ref="L6:L7"/>
    <mergeCell ref="M6:M7"/>
    <mergeCell ref="N6:N7"/>
    <mergeCell ref="O6:O7"/>
    <mergeCell ref="AI6:AI7"/>
    <mergeCell ref="AJ6:AJ7"/>
    <mergeCell ref="AK6:AK7"/>
    <mergeCell ref="AE6:AE7"/>
    <mergeCell ref="AC6:AC7"/>
    <mergeCell ref="AD6:AD7"/>
    <mergeCell ref="A4:B4"/>
    <mergeCell ref="A5:G5"/>
    <mergeCell ref="H5:N5"/>
    <mergeCell ref="O5:X5"/>
    <mergeCell ref="C4:AK4"/>
    <mergeCell ref="Y5:AE5"/>
    <mergeCell ref="AF5:AK5"/>
    <mergeCell ref="A6:A7"/>
    <mergeCell ref="B6:B7"/>
    <mergeCell ref="C6:C7"/>
    <mergeCell ref="D6:D7"/>
    <mergeCell ref="E6:E7"/>
    <mergeCell ref="F6:F7"/>
    <mergeCell ref="G6:G7"/>
    <mergeCell ref="H6:H7"/>
    <mergeCell ref="I6:I7"/>
    <mergeCell ref="AH6:AH7"/>
    <mergeCell ref="AA6:AA7"/>
    <mergeCell ref="AF6:AF7"/>
    <mergeCell ref="AG6:AG7"/>
    <mergeCell ref="AB6:AB7"/>
    <mergeCell ref="Q6:Q7"/>
    <mergeCell ref="R6:R7"/>
    <mergeCell ref="S6:X6"/>
    <mergeCell ref="Y6:Y7"/>
    <mergeCell ref="Z6:Z7"/>
    <mergeCell ref="P6:P7"/>
    <mergeCell ref="J6:J7"/>
    <mergeCell ref="A1:AK1"/>
    <mergeCell ref="A2:B2"/>
    <mergeCell ref="A3:B3"/>
    <mergeCell ref="C2:AK2"/>
    <mergeCell ref="C3:AK3"/>
  </mergeCells>
  <conditionalFormatting sqref="H8 Z8:Z10">
    <cfRule type="cellIs" dxfId="127" priority="275" operator="equal">
      <formula>"Muy Alta"</formula>
    </cfRule>
    <cfRule type="cellIs" dxfId="126" priority="276" operator="equal">
      <formula>"Alta"</formula>
    </cfRule>
    <cfRule type="cellIs" dxfId="125" priority="277" operator="equal">
      <formula>"Media"</formula>
    </cfRule>
    <cfRule type="cellIs" dxfId="124" priority="278" operator="equal">
      <formula>"Baja"</formula>
    </cfRule>
    <cfRule type="cellIs" dxfId="123" priority="279" operator="equal">
      <formula>"Muy Baja"</formula>
    </cfRule>
  </conditionalFormatting>
  <conditionalFormatting sqref="L8 AB8:AB10">
    <cfRule type="cellIs" dxfId="122" priority="44" operator="equal">
      <formula>"Catastrófico"</formula>
    </cfRule>
    <cfRule type="cellIs" dxfId="121" priority="45" operator="equal">
      <formula>"Mayor"</formula>
    </cfRule>
    <cfRule type="cellIs" dxfId="120" priority="46" operator="equal">
      <formula>"Moderado"</formula>
    </cfRule>
    <cfRule type="cellIs" dxfId="119" priority="47" operator="equal">
      <formula>"Menor"</formula>
    </cfRule>
    <cfRule type="cellIs" dxfId="118" priority="48" operator="equal">
      <formula>"Leve"</formula>
    </cfRule>
  </conditionalFormatting>
  <conditionalFormatting sqref="M8">
    <cfRule type="containsText" dxfId="117" priority="43" operator="containsText" text="❌">
      <formula>NOT(ISERROR(SEARCH("❌",M8)))</formula>
    </cfRule>
  </conditionalFormatting>
  <conditionalFormatting sqref="N8 AD8:AD10">
    <cfRule type="cellIs" dxfId="116" priority="266" operator="equal">
      <formula>"Extremo"</formula>
    </cfRule>
    <cfRule type="cellIs" dxfId="115" priority="267" operator="equal">
      <formula>"Alto"</formula>
    </cfRule>
    <cfRule type="cellIs" dxfId="114" priority="268" operator="equal">
      <formula>"Moderado"</formula>
    </cfRule>
    <cfRule type="cellIs" dxfId="113" priority="269"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4D51E3AD-F515-401A-A11F-610DC40182CF}">
          <x14:formula1>
            <xm:f>'Tabla Impacto'!$I$3:$I$8</xm:f>
          </x14:formula1>
          <xm:sqref>B8</xm:sqref>
        </x14:dataValidation>
        <x14:dataValidation type="list" allowBlank="1" showInputMessage="1" showErrorMessage="1" xr:uid="{3F2BF9C7-19BC-4E40-AA05-0F59E39AE5E7}">
          <x14:formula1>
            <xm:f>'Tabla Impacto'!$B$3:$B$8</xm:f>
          </x14:formula1>
          <xm:sqref>L8</xm:sqref>
        </x14:dataValidation>
        <x14:dataValidation type="list" allowBlank="1" showInputMessage="1" showErrorMessage="1" xr:uid="{249C8A5F-9776-4315-9DA1-37C0A160F591}">
          <x14:formula1>
            <xm:f>'Tabla Valoración controles'!$D$13:$D$14</xm:f>
          </x14:formula1>
          <xm:sqref>X8:X10</xm:sqref>
        </x14:dataValidation>
        <x14:dataValidation type="list" allowBlank="1" showInputMessage="1" showErrorMessage="1" xr:uid="{24E916B2-B6F3-4DB2-A01A-6589399D13FE}">
          <x14:formula1>
            <xm:f>'Tabla Valoración controles'!$D$11:$D$12</xm:f>
          </x14:formula1>
          <xm:sqref>W8:W10</xm:sqref>
        </x14:dataValidation>
        <x14:dataValidation type="list" allowBlank="1" showInputMessage="1" showErrorMessage="1" xr:uid="{B171C302-7C02-4D16-8F24-C5AF9CA0A21A}">
          <x14:formula1>
            <xm:f>'Tabla Valoración controles'!$D$9:$D$10</xm:f>
          </x14:formula1>
          <xm:sqref>V8:V10</xm:sqref>
        </x14:dataValidation>
        <x14:dataValidation type="list" allowBlank="1" showInputMessage="1" showErrorMessage="1" xr:uid="{3F3A7469-9A1C-4526-B071-856D82200501}">
          <x14:formula1>
            <xm:f>'Tabla Valoración controles'!$D$7:$D$8</xm:f>
          </x14:formula1>
          <xm:sqref>T8:T10</xm:sqref>
        </x14:dataValidation>
        <x14:dataValidation type="list" allowBlank="1" showInputMessage="1" showErrorMessage="1" xr:uid="{BF22ED1F-5EF7-4E86-950F-BFCC0735EF46}">
          <x14:formula1>
            <xm:f>'Tabla Valoración controles'!$D$4:$D$6</xm:f>
          </x14:formula1>
          <xm:sqref>S8:S10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tabColor rgb="FF00B050"/>
  </sheetPr>
  <dimension ref="A1:BP14"/>
  <sheetViews>
    <sheetView topLeftCell="L4" zoomScale="60" zoomScaleNormal="60" workbookViewId="0">
      <selection activeCell="Q8" sqref="Q8"/>
    </sheetView>
  </sheetViews>
  <sheetFormatPr baseColWidth="10" defaultColWidth="11.28515625" defaultRowHeight="14.25" x14ac:dyDescent="0.2"/>
  <cols>
    <col min="1" max="1" width="4" style="281" bestFit="1" customWidth="1"/>
    <col min="2" max="2" width="17" style="281" customWidth="1"/>
    <col min="3" max="3" width="15" style="281" customWidth="1"/>
    <col min="4" max="4" width="23.7109375" style="281" customWidth="1"/>
    <col min="5" max="5" width="36.28515625" style="274" customWidth="1"/>
    <col min="6" max="6" width="19" style="282" customWidth="1"/>
    <col min="7" max="7" width="17.85546875" style="274" customWidth="1"/>
    <col min="8" max="8" width="16.28515625" style="274" customWidth="1"/>
    <col min="9" max="9" width="6.140625" style="274" customWidth="1"/>
    <col min="10" max="10" width="27.140625" style="274" customWidth="1"/>
    <col min="11" max="11" width="30.28515625" style="274" customWidth="1"/>
    <col min="12" max="12" width="17.28515625" style="274" customWidth="1"/>
    <col min="13" max="13" width="6.140625" style="274" customWidth="1"/>
    <col min="14" max="14" width="16" style="274" customWidth="1"/>
    <col min="15" max="15" width="5.85546875" style="274" customWidth="1"/>
    <col min="16" max="16" width="60" style="274" customWidth="1"/>
    <col min="17" max="17" width="15.85546875" style="274" customWidth="1"/>
    <col min="18" max="18" width="6.85546875" style="274" customWidth="1"/>
    <col min="19" max="19" width="5" style="274" customWidth="1"/>
    <col min="20" max="20" width="5.28515625" style="274" customWidth="1"/>
    <col min="21" max="21" width="7.140625" style="274" customWidth="1"/>
    <col min="22" max="22" width="6.85546875" style="274" customWidth="1"/>
    <col min="23" max="23" width="7.28515625" style="274" customWidth="1"/>
    <col min="24" max="24" width="7.85546875" style="274" customWidth="1"/>
    <col min="25" max="25" width="8.85546875" style="274" customWidth="1"/>
    <col min="26" max="26" width="10.28515625" style="274" customWidth="1"/>
    <col min="27" max="28" width="9.140625" style="274" customWidth="1"/>
    <col min="29" max="29" width="8.28515625" style="274" customWidth="1"/>
    <col min="30" max="30" width="7.140625" style="274" customWidth="1"/>
    <col min="31" max="31" width="29" style="274" customWidth="1"/>
    <col min="32" max="32" width="18.85546875" style="274" customWidth="1"/>
    <col min="33" max="33" width="16.85546875" style="274" customWidth="1"/>
    <col min="34" max="34" width="14.85546875" style="274" customWidth="1"/>
    <col min="35" max="35" width="18.28515625" style="274" customWidth="1"/>
    <col min="36" max="36" width="21" style="274" customWidth="1"/>
    <col min="37" max="16384" width="11.28515625" style="274"/>
  </cols>
  <sheetData>
    <row r="1" spans="1:68" ht="37.5" customHeight="1" x14ac:dyDescent="0.2">
      <c r="A1" s="660" t="s">
        <v>60</v>
      </c>
      <c r="B1" s="661"/>
      <c r="C1" s="661"/>
      <c r="D1" s="661"/>
      <c r="E1" s="661"/>
      <c r="F1" s="661"/>
      <c r="G1" s="661"/>
      <c r="H1" s="661"/>
      <c r="I1" s="661"/>
      <c r="J1" s="661"/>
      <c r="K1" s="661"/>
      <c r="L1" s="661"/>
      <c r="M1" s="661"/>
      <c r="N1" s="661"/>
      <c r="O1" s="661"/>
      <c r="P1" s="661"/>
      <c r="Q1" s="661"/>
      <c r="R1" s="661"/>
      <c r="S1" s="661"/>
      <c r="T1" s="661"/>
      <c r="U1" s="661"/>
      <c r="V1" s="661"/>
      <c r="W1" s="661"/>
      <c r="X1" s="661"/>
      <c r="Y1" s="661"/>
      <c r="Z1" s="661"/>
      <c r="AA1" s="661"/>
      <c r="AB1" s="661"/>
      <c r="AC1" s="661"/>
      <c r="AD1" s="661"/>
      <c r="AE1" s="661"/>
      <c r="AF1" s="661"/>
      <c r="AG1" s="661"/>
      <c r="AH1" s="661"/>
      <c r="AI1" s="661"/>
      <c r="AJ1" s="662"/>
      <c r="AK1" s="273"/>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273"/>
      <c r="BM1" s="273"/>
      <c r="BN1" s="273"/>
      <c r="BO1" s="273"/>
      <c r="BP1" s="273"/>
    </row>
    <row r="2" spans="1:68" ht="33.75" customHeight="1" x14ac:dyDescent="0.2">
      <c r="A2" s="610" t="s">
        <v>61</v>
      </c>
      <c r="B2" s="610"/>
      <c r="C2" s="698" t="s">
        <v>234</v>
      </c>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700"/>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row>
    <row r="3" spans="1:68" ht="37.5" customHeight="1" x14ac:dyDescent="0.2">
      <c r="A3" s="610" t="s">
        <v>62</v>
      </c>
      <c r="B3" s="610"/>
      <c r="C3" s="698" t="s">
        <v>235</v>
      </c>
      <c r="D3" s="699"/>
      <c r="E3" s="699"/>
      <c r="F3" s="699"/>
      <c r="G3" s="699"/>
      <c r="H3" s="699"/>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I3" s="699"/>
      <c r="AJ3" s="700"/>
      <c r="AK3" s="27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c r="BJ3" s="273"/>
      <c r="BK3" s="273"/>
      <c r="BL3" s="273"/>
      <c r="BM3" s="273"/>
      <c r="BN3" s="273"/>
      <c r="BO3" s="273"/>
      <c r="BP3" s="273"/>
    </row>
    <row r="4" spans="1:68" ht="45.75" customHeight="1" x14ac:dyDescent="0.2">
      <c r="A4" s="610" t="s">
        <v>63</v>
      </c>
      <c r="B4" s="610"/>
      <c r="C4" s="670" t="s">
        <v>236</v>
      </c>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2"/>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row>
    <row r="5" spans="1:68" ht="50.25" customHeight="1" x14ac:dyDescent="0.2">
      <c r="A5" s="701" t="s">
        <v>64</v>
      </c>
      <c r="B5" s="701"/>
      <c r="C5" s="701"/>
      <c r="D5" s="701"/>
      <c r="E5" s="701"/>
      <c r="F5" s="701"/>
      <c r="G5" s="701"/>
      <c r="H5" s="704" t="s">
        <v>65</v>
      </c>
      <c r="I5" s="704"/>
      <c r="J5" s="704"/>
      <c r="K5" s="704"/>
      <c r="L5" s="704"/>
      <c r="M5" s="704"/>
      <c r="N5" s="704"/>
      <c r="O5" s="701" t="s">
        <v>66</v>
      </c>
      <c r="P5" s="701"/>
      <c r="Q5" s="701"/>
      <c r="R5" s="701"/>
      <c r="S5" s="701"/>
      <c r="T5" s="701"/>
      <c r="U5" s="701"/>
      <c r="V5" s="701"/>
      <c r="W5" s="701"/>
      <c r="X5" s="704" t="s">
        <v>67</v>
      </c>
      <c r="Y5" s="704"/>
      <c r="Z5" s="704"/>
      <c r="AA5" s="704"/>
      <c r="AB5" s="704"/>
      <c r="AC5" s="704"/>
      <c r="AD5" s="704"/>
      <c r="AE5" s="701" t="s">
        <v>68</v>
      </c>
      <c r="AF5" s="701"/>
      <c r="AG5" s="701"/>
      <c r="AH5" s="701"/>
      <c r="AI5" s="701"/>
      <c r="AJ5" s="701"/>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row>
    <row r="6" spans="1:68" ht="16.5" customHeight="1" x14ac:dyDescent="0.2">
      <c r="A6" s="702" t="s">
        <v>69</v>
      </c>
      <c r="B6" s="701" t="s">
        <v>15</v>
      </c>
      <c r="C6" s="715" t="s">
        <v>17</v>
      </c>
      <c r="D6" s="715" t="s">
        <v>19</v>
      </c>
      <c r="E6" s="701" t="s">
        <v>21</v>
      </c>
      <c r="F6" s="715" t="s">
        <v>23</v>
      </c>
      <c r="G6" s="715" t="s">
        <v>70</v>
      </c>
      <c r="H6" s="715" t="s">
        <v>71</v>
      </c>
      <c r="I6" s="701" t="s">
        <v>72</v>
      </c>
      <c r="J6" s="715" t="s">
        <v>73</v>
      </c>
      <c r="K6" s="715" t="s">
        <v>74</v>
      </c>
      <c r="L6" s="715" t="s">
        <v>75</v>
      </c>
      <c r="M6" s="701" t="s">
        <v>72</v>
      </c>
      <c r="N6" s="715" t="s">
        <v>29</v>
      </c>
      <c r="O6" s="716" t="s">
        <v>76</v>
      </c>
      <c r="P6" s="715" t="s">
        <v>31</v>
      </c>
      <c r="Q6" s="715" t="s">
        <v>33</v>
      </c>
      <c r="R6" s="715" t="s">
        <v>77</v>
      </c>
      <c r="S6" s="715"/>
      <c r="T6" s="715"/>
      <c r="U6" s="715"/>
      <c r="V6" s="715"/>
      <c r="W6" s="715"/>
      <c r="X6" s="716" t="s">
        <v>78</v>
      </c>
      <c r="Y6" s="716" t="s">
        <v>79</v>
      </c>
      <c r="Z6" s="716" t="s">
        <v>72</v>
      </c>
      <c r="AA6" s="716" t="s">
        <v>80</v>
      </c>
      <c r="AB6" s="716" t="s">
        <v>72</v>
      </c>
      <c r="AC6" s="716" t="s">
        <v>81</v>
      </c>
      <c r="AD6" s="716" t="s">
        <v>49</v>
      </c>
      <c r="AE6" s="715" t="s">
        <v>68</v>
      </c>
      <c r="AF6" s="715" t="s">
        <v>82</v>
      </c>
      <c r="AG6" s="615" t="s">
        <v>264</v>
      </c>
      <c r="AH6" s="615" t="s">
        <v>265</v>
      </c>
      <c r="AI6" s="615" t="s">
        <v>262</v>
      </c>
      <c r="AJ6" s="615" t="s">
        <v>263</v>
      </c>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8" s="277" customFormat="1" ht="82.5" customHeight="1" x14ac:dyDescent="0.25">
      <c r="A7" s="702"/>
      <c r="B7" s="701"/>
      <c r="C7" s="715"/>
      <c r="D7" s="715"/>
      <c r="E7" s="701"/>
      <c r="F7" s="715"/>
      <c r="G7" s="715"/>
      <c r="H7" s="715"/>
      <c r="I7" s="701"/>
      <c r="J7" s="715"/>
      <c r="K7" s="715"/>
      <c r="L7" s="701"/>
      <c r="M7" s="701"/>
      <c r="N7" s="715"/>
      <c r="O7" s="716"/>
      <c r="P7" s="715"/>
      <c r="Q7" s="715"/>
      <c r="R7" s="301" t="s">
        <v>83</v>
      </c>
      <c r="S7" s="301" t="s">
        <v>84</v>
      </c>
      <c r="T7" s="301" t="s">
        <v>85</v>
      </c>
      <c r="U7" s="301" t="s">
        <v>86</v>
      </c>
      <c r="V7" s="301" t="s">
        <v>87</v>
      </c>
      <c r="W7" s="301" t="s">
        <v>88</v>
      </c>
      <c r="X7" s="716"/>
      <c r="Y7" s="716"/>
      <c r="Z7" s="716"/>
      <c r="AA7" s="716"/>
      <c r="AB7" s="716"/>
      <c r="AC7" s="716"/>
      <c r="AD7" s="716"/>
      <c r="AE7" s="715"/>
      <c r="AF7" s="715"/>
      <c r="AG7" s="615"/>
      <c r="AH7" s="615"/>
      <c r="AI7" s="615"/>
      <c r="AJ7" s="615"/>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row>
    <row r="8" spans="1:68" ht="210.75" customHeight="1" x14ac:dyDescent="0.2">
      <c r="A8" s="302">
        <v>1</v>
      </c>
      <c r="B8" s="258" t="s">
        <v>89</v>
      </c>
      <c r="C8" s="230" t="s">
        <v>421</v>
      </c>
      <c r="D8" s="230" t="s">
        <v>422</v>
      </c>
      <c r="E8" s="230" t="s">
        <v>413</v>
      </c>
      <c r="F8" s="230" t="s">
        <v>101</v>
      </c>
      <c r="G8" s="312">
        <v>12</v>
      </c>
      <c r="H8" s="303" t="str">
        <f>IF(G8&lt;=0,"",IF(G8&lt;=2,"Muy Baja",IF(G8&lt;=24,"Baja",IF(G8&lt;=500,"Media",IF(G8&lt;=5000,"Alta","Muy Alta")))))</f>
        <v>Baja</v>
      </c>
      <c r="I8" s="304">
        <f>IF(H8="","",IF(H8="Muy Baja",0.2,IF(H8="Baja",0.4,IF(H8="Media",0.6,IF(H8="Alta",0.8,IF(H8="Muy Alta",1,))))))</f>
        <v>0.4</v>
      </c>
      <c r="J8" s="259"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v>
      </c>
      <c r="K8" s="259"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v>
      </c>
      <c r="L8" s="260" t="s">
        <v>114</v>
      </c>
      <c r="M8" s="261">
        <f>VLOOKUP(L8,'Tabla Impacto'!$B$4:$G$8,6,0)</f>
        <v>0.6</v>
      </c>
      <c r="N8" s="305" t="str">
        <f>IF(OR(AND(H8="Muy Baja",L8="Leve"),AND(H8="Muy Baja",L8="Menor"),AND(H8="Baja",L8="Leve")),"Bajo",IF(OR(AND(H8="Muy baja",L8="Moderado"),AND(H8="Baja",L8="Menor"),AND(H8="Baja",L8="Moderado"),AND(H8="Media",L8="Leve"),AND(H8="Media",L8="Menor"),AND(H8="Media",L8="Moderado"),AND(H8="Alta",L8="Leve"),AND(H8="Alta",L8="Menor")),"Moderado",IF(OR(AND(H8="Muy Baja",L8="Mayor"),AND(H8="Baja",L8="Mayor"),AND(H8="Media",L8="Mayor"),AND(H8="Alta",L8="Moderado"),AND(H8="Alta",L8="Mayor"),AND(H8="Muy Alta",L8="Leve"),AND(H8="Muy Alta",L8="Menor"),AND(H8="Muy Alta",L8="Moderado"),AND(H8="Muy Alta",L8="Mayor")),"Alto",IF(OR(AND(H8="Muy Baja",L8="Catastrófico"),AND(H8="Baja",L8="Catastrófico"),AND(H8="Media",L8="Catastrófico"),AND(H8="Alta",L8="Catastrófico"),AND(H8="Muy Alta",L8="Catastrófico")),"Extremo",""))))</f>
        <v>Moderado</v>
      </c>
      <c r="O8" s="302">
        <v>1</v>
      </c>
      <c r="P8" s="230" t="s">
        <v>414</v>
      </c>
      <c r="Q8" s="306" t="str">
        <f t="shared" ref="Q8:Q9" si="0">IF(OR(R8="Preventivo",R8="Detectivo"),"Probabilidad",IF(R8="Correctivo","Impacto",""))</f>
        <v>Probabilidad</v>
      </c>
      <c r="R8" s="307" t="s">
        <v>91</v>
      </c>
      <c r="S8" s="307" t="s">
        <v>92</v>
      </c>
      <c r="T8" s="308" t="str">
        <f t="shared" ref="T8:T9" si="1">IF(AND(R8="Preventivo",S8="Automático"),"50%",IF(AND(R8="Preventivo",S8="Manual"),"40%",IF(AND(R8="Detectivo",S8="Automático"),"40%",IF(AND(R8="Detectivo",S8="Manual"),"30%",IF(AND(R8="Correctivo",S8="Automático"),"35%",IF(AND(R8="Correctivo",S8="Manual"),"25%",""))))))</f>
        <v>40%</v>
      </c>
      <c r="U8" s="307" t="s">
        <v>93</v>
      </c>
      <c r="V8" s="307" t="s">
        <v>99</v>
      </c>
      <c r="W8" s="307" t="s">
        <v>95</v>
      </c>
      <c r="X8" s="309">
        <f>IFERROR(IF(Q8="Probabilidad",(I8-(+I8*T8)),IF(Q8="Impacto",I8,"")),"")</f>
        <v>0.24</v>
      </c>
      <c r="Y8" s="310" t="str">
        <f>IFERROR(IF(X8="","",IF(X8&lt;=0.2,"Muy Baja",IF(X8&lt;=0.4,"Baja",IF(X8&lt;=0.6,"Media",IF(X8&lt;=0.8,"Alta","Muy Alta"))))),"")</f>
        <v>Baja</v>
      </c>
      <c r="Z8" s="308">
        <f t="shared" ref="Z8:Z9" si="2">+X8</f>
        <v>0.24</v>
      </c>
      <c r="AA8" s="310" t="str">
        <f>IFERROR(IF(AB8="","",IF(AB8&lt;=0.2,"Leve",IF(AB8&lt;=0.4,"Menor",IF(AB8&lt;=0.6,"Moderado",IF(AB8&lt;=0.8,"Mayor","Catastrófico"))))),"")</f>
        <v>Moderado</v>
      </c>
      <c r="AB8" s="308">
        <f>IFERROR(IF(Q8="Impacto",(M8-(+M8*T8)),IF(Q8="Probabilidad",M8,"")),"")</f>
        <v>0.6</v>
      </c>
      <c r="AC8" s="311" t="str">
        <f t="shared" ref="AC8:AC9" si="3">IFERROR(IF(OR(AND(Y8="Muy Baja",AA8="Leve"),AND(Y8="Muy Baja",AA8="Menor"),AND(Y8="Baja",AA8="Leve")),"Bajo",IF(OR(AND(Y8="Muy baja",AA8="Moderado"),AND(Y8="Baja",AA8="Menor"),AND(Y8="Baja",AA8="Moderado"),AND(Y8="Media",AA8="Leve"),AND(Y8="Media",AA8="Menor"),AND(Y8="Media",AA8="Moderado"),AND(Y8="Alta",AA8="Leve"),AND(Y8="Alta",AA8="Menor")),"Moderado",IF(OR(AND(Y8="Muy Baja",AA8="Mayor"),AND(Y8="Baja",AA8="Mayor"),AND(Y8="Media",AA8="Mayor"),AND(Y8="Alta",AA8="Moderado"),AND(Y8="Alta",AA8="Mayor"),AND(Y8="Muy Alta",AA8="Leve"),AND(Y8="Muy Alta",AA8="Menor"),AND(Y8="Muy Alta",AA8="Moderado"),AND(Y8="Muy Alta",AA8="Mayor")),"Alto",IF(OR(AND(Y8="Muy Baja",AA8="Catastrófico"),AND(Y8="Baja",AA8="Catastrófico"),AND(Y8="Media",AA8="Catastrófico"),AND(Y8="Alta",AA8="Catastrófico"),AND(Y8="Muy Alta",AA8="Catastrófico")),"Extremo","")))),"")</f>
        <v>Moderado</v>
      </c>
      <c r="AD8" s="307"/>
      <c r="AE8" s="230" t="s">
        <v>415</v>
      </c>
      <c r="AF8" s="230" t="s">
        <v>278</v>
      </c>
      <c r="AG8" s="230" t="s">
        <v>417</v>
      </c>
      <c r="AH8" s="230" t="str">
        <f>AG8</f>
        <v>Enero - diciembre de 2026</v>
      </c>
      <c r="AI8" s="230" t="s">
        <v>324</v>
      </c>
      <c r="AJ8" s="230" t="s">
        <v>325</v>
      </c>
      <c r="AK8" s="273"/>
      <c r="AL8" s="273"/>
      <c r="AM8" s="273"/>
      <c r="AN8" s="273"/>
      <c r="AO8" s="273"/>
      <c r="AP8" s="273"/>
      <c r="AQ8" s="273"/>
      <c r="AR8" s="273"/>
      <c r="AS8" s="273"/>
      <c r="AT8" s="273"/>
      <c r="AU8" s="273"/>
      <c r="AV8" s="273"/>
      <c r="AW8" s="273"/>
      <c r="AX8" s="273"/>
      <c r="AY8" s="273"/>
      <c r="AZ8" s="273"/>
      <c r="BA8" s="273"/>
      <c r="BB8" s="273"/>
      <c r="BC8" s="273"/>
      <c r="BD8" s="273"/>
      <c r="BE8" s="273"/>
      <c r="BF8" s="273"/>
      <c r="BG8" s="273"/>
      <c r="BH8" s="273"/>
      <c r="BI8" s="273"/>
      <c r="BJ8" s="273"/>
      <c r="BK8" s="273"/>
      <c r="BL8" s="273"/>
      <c r="BM8" s="273"/>
      <c r="BN8" s="273"/>
      <c r="BO8" s="273"/>
      <c r="BP8" s="273"/>
    </row>
    <row r="9" spans="1:68" ht="146.25" hidden="1" customHeight="1" x14ac:dyDescent="0.2">
      <c r="A9" s="705">
        <v>2</v>
      </c>
      <c r="B9" s="621" t="s">
        <v>89</v>
      </c>
      <c r="C9" s="714" t="s">
        <v>237</v>
      </c>
      <c r="D9" s="714" t="s">
        <v>238</v>
      </c>
      <c r="E9" s="718" t="s">
        <v>429</v>
      </c>
      <c r="F9" s="714" t="s">
        <v>101</v>
      </c>
      <c r="G9" s="721">
        <v>260</v>
      </c>
      <c r="H9" s="720" t="str">
        <f>IF(G9&lt;=0,"",IF(G9&lt;=2,"Muy Baja",IF(G9&lt;=24,"Baja",IF(G9&lt;=500,"Media",IF(G9&lt;=5000,"Alta","Muy Alta")))))</f>
        <v>Media</v>
      </c>
      <c r="I9" s="719">
        <f>IF(H9="","",IF(H9="Muy Baja",0.2,IF(H9="Baja",0.4,IF(H9="Media",0.6,IF(H9="Alta",0.8,IF(H9="Muy Alta",1,))))))</f>
        <v>0.6</v>
      </c>
      <c r="J9" s="626" t="str">
        <f>IF(OR($B$8="Reputacional",$B$8="Económica"),VLOOKUP($L$9,'Tabla Impacto'!$B$4:$G$8,4,0),IF(AND($B$8="Reputacional y Económica"),VLOOKUP($L$9,'Tabla Impacto'!$B$4:$G$8,5,0),((VLOOKUP($L$9,'Tabla Impacto'!$B$4:$G$8,2,0)))))</f>
        <v>El Impacto se evalúo como Mayor. El riesgo afecta la imagen de de la entidad con efecto publicitario sostenido a nivel de sector administrativo, nivel departamental o municipal.</v>
      </c>
      <c r="K9" s="626" t="str">
        <f>IF(OR($B$8="Reputacional",$B$8="Económica"),VLOOKUP($L$9,'Tabla Impacto'!$B$4:$G$8,4,0),IF(AND($B$8="Reputacional y Económica"),VLOOKUP($L$9,'Tabla Impacto'!$B$4:$G$8,5,0),((VLOOKUP($L$9,'Tabla Impacto'!$B$4:$G$8,2,0)))))</f>
        <v>El Impacto se evalúo como Mayor. El riesgo afecta la imagen de de la entidad con efecto publicitario sostenido a nivel de sector administrativo, nivel departamental o municipal.</v>
      </c>
      <c r="L9" s="707" t="s">
        <v>145</v>
      </c>
      <c r="M9" s="622">
        <f>VLOOKUP(L9,'Tabla Impacto'!$B$4:$G$8,6,0)</f>
        <v>0.8</v>
      </c>
      <c r="N9" s="717" t="str">
        <f>IF(OR(AND(H9="Muy Baja",L9="Leve"),AND(H9="Muy Baja",L9="Menor"),AND(H9="Baja",L9="Leve")),"Bajo",IF(OR(AND(H9="Muy baja",L9="Moderado"),AND(H9="Baja",L9="Menor"),AND(H9="Baja",L9="Moderado"),AND(H9="Media",L9="Leve"),AND(H9="Media",L9="Menor"),AND(H9="Media",L9="Moderado"),AND(H9="Alta",L9="Leve"),AND(H9="Alta",L9="Menor")),"Moderado",IF(OR(AND(H9="Muy Baja",L9="Mayor"),AND(H9="Baja",L9="Mayor"),AND(H9="Media",L9="Mayor"),AND(H9="Alta",L9="Moderado"),AND(H9="Alta",L9="Mayor"),AND(H9="Muy Alta",L9="Leve"),AND(H9="Muy Alta",L9="Menor"),AND(H9="Muy Alta",L9="Moderado"),AND(H9="Muy Alta",L9="Mayor")),"Alto",IF(OR(AND(H9="Muy Baja",L9="Catastrófico"),AND(H9="Baja",L9="Catastrófico"),AND(H9="Media",L9="Catastrófico"),AND(H9="Alta",L9="Catastrófico"),AND(H9="Muy Alta",L9="Catastrófico")),"Extremo",""))))</f>
        <v>Alto</v>
      </c>
      <c r="O9" s="705">
        <v>1</v>
      </c>
      <c r="P9" s="230" t="s">
        <v>416</v>
      </c>
      <c r="Q9" s="306" t="str">
        <f t="shared" si="0"/>
        <v>Impacto</v>
      </c>
      <c r="R9" s="307" t="s">
        <v>98</v>
      </c>
      <c r="S9" s="307" t="s">
        <v>92</v>
      </c>
      <c r="T9" s="308" t="str">
        <f t="shared" si="1"/>
        <v>25%</v>
      </c>
      <c r="U9" s="307" t="s">
        <v>93</v>
      </c>
      <c r="V9" s="307" t="s">
        <v>94</v>
      </c>
      <c r="W9" s="307" t="s">
        <v>95</v>
      </c>
      <c r="X9" s="309">
        <f>IFERROR(IF(Q9="Probabilidad",(I9-(+I9*T9)),IF(Q9="Impacto",I9,"")),"")</f>
        <v>0.6</v>
      </c>
      <c r="Y9" s="310" t="str">
        <f>IFERROR(IF(X9="","",IF(X9&lt;=0.2,"Muy Baja",IF(X9&lt;=0.4,"Baja",IF(X9&lt;=0.6,"Media",IF(X9&lt;=0.8,"Alta","Muy Alta"))))),"")</f>
        <v>Media</v>
      </c>
      <c r="Z9" s="308">
        <f t="shared" si="2"/>
        <v>0.6</v>
      </c>
      <c r="AA9" s="310" t="str">
        <f>IFERROR(IF(AB9="","",IF(AB9&lt;=0.2,"Leve",IF(AB9&lt;=0.4,"Menor",IF(AB9&lt;=0.6,"Moderado",IF(AB9&lt;=0.8,"Mayor","Catastrófico"))))),"")</f>
        <v>Moderado</v>
      </c>
      <c r="AB9" s="308">
        <f>IFERROR(IF(Q9="Impacto",(M9-(+M9*T9)),IF(Q9="Probabilidad",M9,"")),"")</f>
        <v>0.60000000000000009</v>
      </c>
      <c r="AC9" s="311" t="str">
        <f t="shared" si="3"/>
        <v>Moderado</v>
      </c>
      <c r="AD9" s="307"/>
      <c r="AE9" s="230" t="s">
        <v>342</v>
      </c>
      <c r="AF9" s="230" t="s">
        <v>278</v>
      </c>
      <c r="AG9" s="230" t="s">
        <v>417</v>
      </c>
      <c r="AH9" s="353" t="str">
        <f t="shared" ref="AH9:AH11" si="4">AG9</f>
        <v>Enero - diciembre de 2026</v>
      </c>
      <c r="AI9" s="230" t="s">
        <v>327</v>
      </c>
      <c r="AJ9" s="312" t="s">
        <v>304</v>
      </c>
      <c r="AK9" s="273"/>
      <c r="AL9" s="273"/>
      <c r="AM9" s="273"/>
      <c r="AN9" s="273"/>
      <c r="AO9" s="273"/>
      <c r="AP9" s="273"/>
      <c r="AQ9" s="273"/>
      <c r="AR9" s="273"/>
      <c r="AS9" s="273"/>
      <c r="AT9" s="273"/>
      <c r="AU9" s="273"/>
      <c r="AV9" s="273"/>
      <c r="AW9" s="273"/>
      <c r="AX9" s="273"/>
      <c r="AY9" s="273"/>
      <c r="AZ9" s="273"/>
      <c r="BA9" s="273"/>
      <c r="BB9" s="273"/>
      <c r="BC9" s="273"/>
      <c r="BD9" s="273"/>
      <c r="BE9" s="273"/>
      <c r="BF9" s="273"/>
      <c r="BG9" s="273"/>
      <c r="BH9" s="273"/>
      <c r="BI9" s="273"/>
      <c r="BJ9" s="273"/>
      <c r="BK9" s="273"/>
      <c r="BL9" s="273"/>
      <c r="BM9" s="273"/>
      <c r="BN9" s="273"/>
      <c r="BO9" s="273"/>
      <c r="BP9" s="273"/>
    </row>
    <row r="10" spans="1:68" ht="114.75" hidden="1" customHeight="1" x14ac:dyDescent="0.2">
      <c r="A10" s="705"/>
      <c r="B10" s="621"/>
      <c r="C10" s="714"/>
      <c r="D10" s="714"/>
      <c r="E10" s="718"/>
      <c r="F10" s="714"/>
      <c r="G10" s="721"/>
      <c r="H10" s="720"/>
      <c r="I10" s="719"/>
      <c r="J10" s="626"/>
      <c r="K10" s="626"/>
      <c r="L10" s="707"/>
      <c r="M10" s="622"/>
      <c r="N10" s="717"/>
      <c r="O10" s="705"/>
      <c r="P10" s="230" t="s">
        <v>326</v>
      </c>
      <c r="Q10" s="306" t="s">
        <v>15</v>
      </c>
      <c r="R10" s="307" t="s">
        <v>98</v>
      </c>
      <c r="S10" s="307" t="s">
        <v>92</v>
      </c>
      <c r="T10" s="308" t="str">
        <f t="shared" ref="T10:T11" si="5">IF(AND(R10="Preventivo",S10="Automático"),"50%",IF(AND(R10="Preventivo",S10="Manual"),"40%",IF(AND(R10="Detectivo",S10="Automático"),"40%",IF(AND(R10="Detectivo",S10="Manual"),"30%",IF(AND(R10="Correctivo",S10="Automático"),"35%",IF(AND(R10="Correctivo",S10="Manual"),"25%",""))))))</f>
        <v>25%</v>
      </c>
      <c r="U10" s="307" t="s">
        <v>93</v>
      </c>
      <c r="V10" s="307" t="s">
        <v>94</v>
      </c>
      <c r="W10" s="307" t="s">
        <v>95</v>
      </c>
      <c r="X10" s="309">
        <f>IFERROR(IF(Q10="Probabilidad",(I10-(+I10*T10)),IF(Q10="Impacto",I10,"")),"")</f>
        <v>0</v>
      </c>
      <c r="Y10" s="310" t="str">
        <f>IFERROR(IF(X10="","",IF(X10&lt;=0.2,"Muy Baja",IF(X10&lt;=0.4,"Baja",IF(X10&lt;=0.6,"Media",IF(X10&lt;=0.8,"Alta","Muy Alta"))))),"")</f>
        <v>Muy Baja</v>
      </c>
      <c r="Z10" s="308">
        <f t="shared" ref="Z10:Z11" si="6">+X10</f>
        <v>0</v>
      </c>
      <c r="AA10" s="310" t="str">
        <f>IFERROR(IF(AB10="","",IF(AB10&lt;=0.2,"Leve",IF(AB10&lt;=0.4,"Menor",IF(AB10&lt;=0.6,"Moderado",IF(AB10&lt;=0.8,"Mayor","Catastrófico"))))),"")</f>
        <v>Leve</v>
      </c>
      <c r="AB10" s="308">
        <f>IFERROR(IF(Q10="Impacto",(M10-(+M10*T10)),IF(Q10="Probabilidad",M10,"")),"")</f>
        <v>0</v>
      </c>
      <c r="AC10" s="311" t="str">
        <f t="shared" ref="AC10:AC11" si="7">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Bajo</v>
      </c>
      <c r="AD10" s="307"/>
      <c r="AE10" s="230" t="s">
        <v>328</v>
      </c>
      <c r="AF10" s="230" t="s">
        <v>278</v>
      </c>
      <c r="AG10" s="230" t="s">
        <v>417</v>
      </c>
      <c r="AH10" s="353" t="str">
        <f t="shared" si="4"/>
        <v>Enero - diciembre de 2026</v>
      </c>
      <c r="AI10" s="230" t="s">
        <v>419</v>
      </c>
      <c r="AJ10" s="230" t="s">
        <v>419</v>
      </c>
      <c r="AK10" s="273"/>
      <c r="AL10" s="273"/>
      <c r="AM10" s="273"/>
      <c r="AN10" s="273"/>
      <c r="AO10" s="273"/>
      <c r="AP10" s="273"/>
      <c r="AQ10" s="273"/>
      <c r="AR10" s="273"/>
      <c r="AS10" s="273"/>
      <c r="AT10" s="273"/>
      <c r="AU10" s="273"/>
      <c r="AV10" s="273"/>
      <c r="AW10" s="273"/>
      <c r="AX10" s="273"/>
      <c r="AY10" s="273"/>
      <c r="AZ10" s="273"/>
      <c r="BA10" s="273"/>
      <c r="BB10" s="273"/>
      <c r="BC10" s="273"/>
      <c r="BD10" s="273"/>
      <c r="BE10" s="273"/>
      <c r="BF10" s="273"/>
      <c r="BG10" s="273"/>
      <c r="BH10" s="273"/>
      <c r="BI10" s="273"/>
      <c r="BJ10" s="273"/>
      <c r="BK10" s="273"/>
      <c r="BL10" s="273"/>
      <c r="BM10" s="273"/>
      <c r="BN10" s="273"/>
      <c r="BO10" s="273"/>
      <c r="BP10" s="273"/>
    </row>
    <row r="11" spans="1:68" ht="145.5" customHeight="1" x14ac:dyDescent="0.2">
      <c r="A11" s="302">
        <v>2</v>
      </c>
      <c r="B11" s="258" t="s">
        <v>89</v>
      </c>
      <c r="C11" s="230" t="s">
        <v>396</v>
      </c>
      <c r="D11" s="230" t="s">
        <v>420</v>
      </c>
      <c r="E11" s="230" t="s">
        <v>395</v>
      </c>
      <c r="F11" s="230" t="s">
        <v>101</v>
      </c>
      <c r="G11" s="312">
        <v>72</v>
      </c>
      <c r="H11" s="303" t="str">
        <f>IF(G11&lt;=0,"",IF(G11&lt;=2,"Muy Baja",IF(G11&lt;=24,"Baja",IF(G11&lt;=500,"Media",IF(G11&lt;=5000,"Alta","Muy Alta")))))</f>
        <v>Media</v>
      </c>
      <c r="I11" s="304">
        <f>IF(H11="","",IF(H11="Muy Baja",0.2,IF(H11="Baja",0.4,IF(H11="Media",0.6,IF(H11="Alta",0.8,IF(H11="Muy Alta",1,))))))</f>
        <v>0.6</v>
      </c>
      <c r="J11" s="259"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v>
      </c>
      <c r="K11" s="259" t="str">
        <f>IF(OR($B$8="Reputacional",$B$8="Económica"),VLOOKUP($L$8,'Tabla Impacto'!$B$4:$G$8,4,0),IF(AND($B$8="Reputacional y Económica"),VLOOKUP($L$8,'Tabla Impacto'!$B$4:$G$8,5,0),((VLOOKUP($L$8,'Tabla Impacto'!$B$4:$G$8,2,0)))))</f>
        <v>El Impacto se evalúo como Moderado. El riesgo afecta la imagen de la entidad con algunos usuarios de relevancia frente al logro de los objetivos.</v>
      </c>
      <c r="L11" s="260" t="s">
        <v>114</v>
      </c>
      <c r="M11" s="261">
        <f>VLOOKUP(L11,'Tabla Impacto'!$B$4:$G$8,6,0)</f>
        <v>0.6</v>
      </c>
      <c r="N11" s="305" t="str">
        <f>IF(OR(AND(H11="Muy Baja",L11="Leve"),AND(H11="Muy Baja",L11="Menor"),AND(H11="Baja",L11="Leve")),"Bajo",IF(OR(AND(H11="Muy baja",L11="Moderado"),AND(H11="Baja",L11="Menor"),AND(H11="Baja",L11="Moderado"),AND(H11="Media",L11="Leve"),AND(H11="Media",L11="Menor"),AND(H11="Media",L11="Moderado"),AND(H11="Alta",L11="Leve"),AND(H11="Alta",L11="Menor")),"Moderado",IF(OR(AND(H11="Muy Baja",L11="Mayor"),AND(H11="Baja",L11="Mayor"),AND(H11="Media",L11="Mayor"),AND(H11="Alta",L11="Moderado"),AND(H11="Alta",L11="Mayor"),AND(H11="Muy Alta",L11="Leve"),AND(H11="Muy Alta",L11="Menor"),AND(H11="Muy Alta",L11="Moderado"),AND(H11="Muy Alta",L11="Mayor")),"Alto",IF(OR(AND(H11="Muy Baja",L11="Catastrófico"),AND(H11="Baja",L11="Catastrófico"),AND(H11="Media",L11="Catastrófico"),AND(H11="Alta",L11="Catastrófico"),AND(H11="Muy Alta",L11="Catastrófico")),"Extremo",""))))</f>
        <v>Moderado</v>
      </c>
      <c r="O11" s="302">
        <v>1</v>
      </c>
      <c r="P11" s="232" t="s">
        <v>397</v>
      </c>
      <c r="Q11" s="306" t="str">
        <f t="shared" ref="Q11" si="8">IF(OR(R11="Preventivo",R11="Detectivo"),"Probabilidad",IF(R11="Correctivo","Impacto",""))</f>
        <v>Probabilidad</v>
      </c>
      <c r="R11" s="307" t="s">
        <v>91</v>
      </c>
      <c r="S11" s="307" t="s">
        <v>92</v>
      </c>
      <c r="T11" s="308" t="str">
        <f t="shared" si="5"/>
        <v>40%</v>
      </c>
      <c r="U11" s="307" t="s">
        <v>93</v>
      </c>
      <c r="V11" s="307" t="s">
        <v>99</v>
      </c>
      <c r="W11" s="307" t="s">
        <v>95</v>
      </c>
      <c r="X11" s="309">
        <f>IFERROR(IF(Q11="Probabilidad",(I11-(+I11*T11)),IF(Q11="Impacto",I11,"")),"")</f>
        <v>0.36</v>
      </c>
      <c r="Y11" s="310" t="str">
        <f>IFERROR(IF(X11="","",IF(X11&lt;=0.2,"Muy Baja",IF(X11&lt;=0.4,"Baja",IF(X11&lt;=0.6,"Media",IF(X11&lt;=0.8,"Alta","Muy Alta"))))),"")</f>
        <v>Baja</v>
      </c>
      <c r="Z11" s="308">
        <f t="shared" si="6"/>
        <v>0.36</v>
      </c>
      <c r="AA11" s="310" t="str">
        <f>IFERROR(IF(AB11="","",IF(AB11&lt;=0.2,"Leve",IF(AB11&lt;=0.4,"Menor",IF(AB11&lt;=0.6,"Moderado",IF(AB11&lt;=0.8,"Mayor","Catastrófico"))))),"")</f>
        <v>Moderado</v>
      </c>
      <c r="AB11" s="308">
        <f>IFERROR(IF(Q11="Impacto",(M11-(+M11*T11)),IF(Q11="Probabilidad",M11,"")),"")</f>
        <v>0.6</v>
      </c>
      <c r="AC11" s="311" t="str">
        <f t="shared" si="7"/>
        <v>Moderado</v>
      </c>
      <c r="AD11" s="307"/>
      <c r="AE11" s="230" t="str">
        <f>MID(P11,74,400)</f>
        <v xml:space="preserve">gestionan la actualización del manual de funciones y verifican que los perfiles y las fichas técnicas esten de acuerdo con los objetivos institucionales </v>
      </c>
      <c r="AF11" s="230" t="s">
        <v>278</v>
      </c>
      <c r="AG11" s="230" t="s">
        <v>426</v>
      </c>
      <c r="AH11" s="353" t="str">
        <f t="shared" si="4"/>
        <v>Julio a diciembre de 2026</v>
      </c>
      <c r="AI11" s="230" t="s">
        <v>418</v>
      </c>
      <c r="AJ11" s="230" t="s">
        <v>268</v>
      </c>
      <c r="AK11" s="273"/>
      <c r="AL11" s="273"/>
      <c r="AM11" s="273"/>
      <c r="AN11" s="273"/>
      <c r="AO11" s="273"/>
      <c r="AP11" s="273"/>
      <c r="AQ11" s="273"/>
      <c r="AR11" s="273"/>
      <c r="AS11" s="273"/>
      <c r="AT11" s="273"/>
      <c r="AU11" s="273"/>
      <c r="AV11" s="273"/>
      <c r="AW11" s="273"/>
      <c r="AX11" s="273"/>
      <c r="AY11" s="273"/>
      <c r="AZ11" s="273"/>
      <c r="BA11" s="273"/>
      <c r="BB11" s="273"/>
      <c r="BC11" s="273"/>
      <c r="BD11" s="273"/>
      <c r="BE11" s="273"/>
      <c r="BF11" s="273"/>
      <c r="BG11" s="273"/>
      <c r="BH11" s="273"/>
      <c r="BI11" s="273"/>
      <c r="BJ11" s="273"/>
      <c r="BK11" s="273"/>
      <c r="BL11" s="273"/>
      <c r="BM11" s="273"/>
      <c r="BN11" s="273"/>
      <c r="BO11" s="273"/>
      <c r="BP11" s="273"/>
    </row>
    <row r="12" spans="1:68" ht="49.9" customHeight="1" x14ac:dyDescent="0.2">
      <c r="A12" s="292"/>
      <c r="B12" s="680" t="s">
        <v>423</v>
      </c>
      <c r="C12" s="681"/>
      <c r="D12" s="681"/>
      <c r="E12" s="681"/>
      <c r="F12" s="681"/>
      <c r="G12" s="681"/>
      <c r="H12" s="681"/>
      <c r="I12" s="681"/>
      <c r="J12" s="681"/>
      <c r="K12" s="681"/>
      <c r="L12" s="681"/>
      <c r="M12" s="681"/>
      <c r="N12" s="681"/>
      <c r="O12" s="681"/>
      <c r="P12" s="681"/>
      <c r="Q12" s="681"/>
      <c r="R12" s="681"/>
      <c r="S12" s="681"/>
      <c r="T12" s="681"/>
      <c r="U12" s="681"/>
      <c r="V12" s="681"/>
      <c r="W12" s="681"/>
      <c r="X12" s="681"/>
      <c r="Y12" s="681"/>
      <c r="Z12" s="681"/>
      <c r="AA12" s="681"/>
      <c r="AB12" s="681"/>
      <c r="AC12" s="681"/>
      <c r="AD12" s="681"/>
      <c r="AE12" s="681"/>
      <c r="AF12" s="681"/>
      <c r="AG12" s="681"/>
      <c r="AH12" s="681"/>
      <c r="AI12" s="681"/>
      <c r="AJ12" s="682"/>
    </row>
    <row r="14" spans="1:68" ht="15" x14ac:dyDescent="0.2">
      <c r="A14" s="274"/>
      <c r="B14" s="283" t="s">
        <v>106</v>
      </c>
      <c r="C14" s="274"/>
      <c r="D14" s="274"/>
      <c r="F14" s="274"/>
    </row>
  </sheetData>
  <dataConsolidate/>
  <mergeCells count="59">
    <mergeCell ref="E9:E10"/>
    <mergeCell ref="J9:J10"/>
    <mergeCell ref="I9:I10"/>
    <mergeCell ref="H9:H10"/>
    <mergeCell ref="G9:G10"/>
    <mergeCell ref="F9:F10"/>
    <mergeCell ref="O9:O10"/>
    <mergeCell ref="N9:N10"/>
    <mergeCell ref="M9:M10"/>
    <mergeCell ref="L9:L10"/>
    <mergeCell ref="K9:K10"/>
    <mergeCell ref="B12:AJ12"/>
    <mergeCell ref="AB6:AB7"/>
    <mergeCell ref="AC6:AC7"/>
    <mergeCell ref="P6:P7"/>
    <mergeCell ref="Q6:Q7"/>
    <mergeCell ref="R6:W6"/>
    <mergeCell ref="X6:X7"/>
    <mergeCell ref="Y6:Y7"/>
    <mergeCell ref="Z6:Z7"/>
    <mergeCell ref="J6:J7"/>
    <mergeCell ref="K6:K7"/>
    <mergeCell ref="L6:L7"/>
    <mergeCell ref="M6:M7"/>
    <mergeCell ref="N6:N7"/>
    <mergeCell ref="O6:O7"/>
    <mergeCell ref="AF6:AF7"/>
    <mergeCell ref="A1:AJ1"/>
    <mergeCell ref="A2:B2"/>
    <mergeCell ref="A3:B3"/>
    <mergeCell ref="AA6:AA7"/>
    <mergeCell ref="A4:B4"/>
    <mergeCell ref="A5:G5"/>
    <mergeCell ref="H5:N5"/>
    <mergeCell ref="O5:W5"/>
    <mergeCell ref="X5:AD5"/>
    <mergeCell ref="AE5:AJ5"/>
    <mergeCell ref="A6:A7"/>
    <mergeCell ref="B6:B7"/>
    <mergeCell ref="C6:C7"/>
    <mergeCell ref="D6:D7"/>
    <mergeCell ref="E6:E7"/>
    <mergeCell ref="F6:F7"/>
    <mergeCell ref="C9:C10"/>
    <mergeCell ref="D9:D10"/>
    <mergeCell ref="A9:A10"/>
    <mergeCell ref="B9:B10"/>
    <mergeCell ref="C2:AJ2"/>
    <mergeCell ref="C3:AJ3"/>
    <mergeCell ref="C4:AJ4"/>
    <mergeCell ref="G6:G7"/>
    <mergeCell ref="H6:H7"/>
    <mergeCell ref="I6:I7"/>
    <mergeCell ref="AG6:AG7"/>
    <mergeCell ref="AH6:AH7"/>
    <mergeCell ref="AI6:AI7"/>
    <mergeCell ref="AJ6:AJ7"/>
    <mergeCell ref="AD6:AD7"/>
    <mergeCell ref="AE6:AE7"/>
  </mergeCells>
  <phoneticPr fontId="54" type="noConversion"/>
  <conditionalFormatting sqref="H8:H9">
    <cfRule type="cellIs" dxfId="112" priority="236" operator="equal">
      <formula>"Muy Alta"</formula>
    </cfRule>
    <cfRule type="cellIs" dxfId="111" priority="237" operator="equal">
      <formula>"Alta"</formula>
    </cfRule>
    <cfRule type="cellIs" dxfId="110" priority="238" operator="equal">
      <formula>"Media"</formula>
    </cfRule>
    <cfRule type="cellIs" dxfId="109" priority="239" operator="equal">
      <formula>"Baja"</formula>
    </cfRule>
    <cfRule type="cellIs" dxfId="108" priority="240" operator="equal">
      <formula>"Muy Baja"</formula>
    </cfRule>
  </conditionalFormatting>
  <conditionalFormatting sqref="H11">
    <cfRule type="cellIs" dxfId="107" priority="25" operator="equal">
      <formula>"Muy Alta"</formula>
    </cfRule>
    <cfRule type="cellIs" dxfId="106" priority="26" operator="equal">
      <formula>"Alta"</formula>
    </cfRule>
    <cfRule type="cellIs" dxfId="105" priority="27" operator="equal">
      <formula>"Media"</formula>
    </cfRule>
    <cfRule type="cellIs" dxfId="104" priority="28" operator="equal">
      <formula>"Baja"</formula>
    </cfRule>
    <cfRule type="cellIs" dxfId="103" priority="29" operator="equal">
      <formula>"Muy Baja"</formula>
    </cfRule>
  </conditionalFormatting>
  <conditionalFormatting sqref="L8:L9">
    <cfRule type="cellIs" dxfId="102" priority="45" operator="equal">
      <formula>"Catastrófico"</formula>
    </cfRule>
    <cfRule type="cellIs" dxfId="101" priority="46" operator="equal">
      <formula>"Mayor"</formula>
    </cfRule>
    <cfRule type="cellIs" dxfId="100" priority="47" operator="equal">
      <formula>"Moderado"</formula>
    </cfRule>
    <cfRule type="cellIs" dxfId="99" priority="48" operator="equal">
      <formula>"Menor"</formula>
    </cfRule>
    <cfRule type="cellIs" dxfId="98" priority="49" operator="equal">
      <formula>"Leve"</formula>
    </cfRule>
  </conditionalFormatting>
  <conditionalFormatting sqref="L11">
    <cfRule type="cellIs" dxfId="97" priority="16" operator="equal">
      <formula>"Catastrófico"</formula>
    </cfRule>
    <cfRule type="cellIs" dxfId="96" priority="17" operator="equal">
      <formula>"Mayor"</formula>
    </cfRule>
    <cfRule type="cellIs" dxfId="95" priority="18" operator="equal">
      <formula>"Moderado"</formula>
    </cfRule>
    <cfRule type="cellIs" dxfId="94" priority="19" operator="equal">
      <formula>"Menor"</formula>
    </cfRule>
    <cfRule type="cellIs" dxfId="93" priority="20" operator="equal">
      <formula>"Leve"</formula>
    </cfRule>
  </conditionalFormatting>
  <conditionalFormatting sqref="M8:M9">
    <cfRule type="containsText" dxfId="92" priority="44" operator="containsText" text="❌">
      <formula>NOT(ISERROR(SEARCH("❌",M8)))</formula>
    </cfRule>
  </conditionalFormatting>
  <conditionalFormatting sqref="M11">
    <cfRule type="containsText" dxfId="91" priority="15" operator="containsText" text="❌">
      <formula>NOT(ISERROR(SEARCH("❌",M11)))</formula>
    </cfRule>
  </conditionalFormatting>
  <conditionalFormatting sqref="N8:N9">
    <cfRule type="cellIs" dxfId="90" priority="232" operator="equal">
      <formula>"Extremo"</formula>
    </cfRule>
    <cfRule type="cellIs" dxfId="89" priority="233" operator="equal">
      <formula>"Alto"</formula>
    </cfRule>
    <cfRule type="cellIs" dxfId="88" priority="234" operator="equal">
      <formula>"Moderado"</formula>
    </cfRule>
    <cfRule type="cellIs" dxfId="87" priority="235" operator="equal">
      <formula>"Bajo"</formula>
    </cfRule>
  </conditionalFormatting>
  <conditionalFormatting sqref="N11">
    <cfRule type="cellIs" dxfId="86" priority="21" operator="equal">
      <formula>"Extremo"</formula>
    </cfRule>
    <cfRule type="cellIs" dxfId="85" priority="22" operator="equal">
      <formula>"Alto"</formula>
    </cfRule>
    <cfRule type="cellIs" dxfId="84" priority="23" operator="equal">
      <formula>"Moderado"</formula>
    </cfRule>
    <cfRule type="cellIs" dxfId="83" priority="24" operator="equal">
      <formula>"Bajo"</formula>
    </cfRule>
  </conditionalFormatting>
  <conditionalFormatting sqref="Y8:Y11">
    <cfRule type="cellIs" dxfId="82" priority="10" operator="equal">
      <formula>"Muy Alta"</formula>
    </cfRule>
    <cfRule type="cellIs" dxfId="81" priority="11" operator="equal">
      <formula>"Alta"</formula>
    </cfRule>
    <cfRule type="cellIs" dxfId="80" priority="12" operator="equal">
      <formula>"Media"</formula>
    </cfRule>
    <cfRule type="cellIs" dxfId="79" priority="13" operator="equal">
      <formula>"Baja"</formula>
    </cfRule>
    <cfRule type="cellIs" dxfId="78" priority="14" operator="equal">
      <formula>"Muy Baja"</formula>
    </cfRule>
  </conditionalFormatting>
  <conditionalFormatting sqref="AA8:AA11">
    <cfRule type="cellIs" dxfId="77" priority="5" operator="equal">
      <formula>"Catastrófico"</formula>
    </cfRule>
    <cfRule type="cellIs" dxfId="76" priority="6" operator="equal">
      <formula>"Mayor"</formula>
    </cfRule>
    <cfRule type="cellIs" dxfId="75" priority="7" operator="equal">
      <formula>"Moderado"</formula>
    </cfRule>
    <cfRule type="cellIs" dxfId="74" priority="8" operator="equal">
      <formula>"Menor"</formula>
    </cfRule>
    <cfRule type="cellIs" dxfId="73" priority="9" operator="equal">
      <formula>"Leve"</formula>
    </cfRule>
  </conditionalFormatting>
  <conditionalFormatting sqref="AC8:AC11">
    <cfRule type="cellIs" dxfId="72" priority="1" operator="equal">
      <formula>"Extremo"</formula>
    </cfRule>
    <cfRule type="cellIs" dxfId="71" priority="2" operator="equal">
      <formula>"Alto"</formula>
    </cfRule>
    <cfRule type="cellIs" dxfId="70" priority="3" operator="equal">
      <formula>"Moderado"</formula>
    </cfRule>
    <cfRule type="cellIs" dxfId="69" priority="4"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5B45D30C-AF4A-415E-B90B-C66DED399722}">
          <x14:formula1>
            <xm:f>'Tabla Valoración controles'!$D$13:$D$14</xm:f>
          </x14:formula1>
          <xm:sqref>W8:W11</xm:sqref>
        </x14:dataValidation>
        <x14:dataValidation type="list" allowBlank="1" showInputMessage="1" showErrorMessage="1" xr:uid="{353431DE-AA89-4AAB-BF8C-2A65C1CB7026}">
          <x14:formula1>
            <xm:f>'Tabla Valoración controles'!$D$11:$D$12</xm:f>
          </x14:formula1>
          <xm:sqref>V8:V11</xm:sqref>
        </x14:dataValidation>
        <x14:dataValidation type="list" allowBlank="1" showInputMessage="1" showErrorMessage="1" xr:uid="{CD0E3F0A-BF1B-47EE-8E33-081CEE1A00FE}">
          <x14:formula1>
            <xm:f>'Tabla Valoración controles'!$D$9:$D$10</xm:f>
          </x14:formula1>
          <xm:sqref>U8:U11</xm:sqref>
        </x14:dataValidation>
        <x14:dataValidation type="list" allowBlank="1" showInputMessage="1" showErrorMessage="1" xr:uid="{A02A9C41-9B4D-4BF5-8C8B-99507AA539AA}">
          <x14:formula1>
            <xm:f>'Tabla Valoración controles'!$D$7:$D$8</xm:f>
          </x14:formula1>
          <xm:sqref>S8:S11</xm:sqref>
        </x14:dataValidation>
        <x14:dataValidation type="list" allowBlank="1" showInputMessage="1" showErrorMessage="1" xr:uid="{AE20C20C-9086-4E10-BF80-14280E4231B0}">
          <x14:formula1>
            <xm:f>'Tabla Valoración controles'!$D$4:$D$6</xm:f>
          </x14:formula1>
          <xm:sqref>R8:R11</xm:sqref>
        </x14:dataValidation>
        <x14:dataValidation type="list" allowBlank="1" showInputMessage="1" showErrorMessage="1" xr:uid="{07209D85-B666-489F-9A65-598767199328}">
          <x14:formula1>
            <xm:f>'Tabla Impacto'!$I$3:$I$8</xm:f>
          </x14:formula1>
          <xm:sqref>B8:B9 B11</xm:sqref>
        </x14:dataValidation>
        <x14:dataValidation type="list" allowBlank="1" showInputMessage="1" showErrorMessage="1" xr:uid="{8AB3A4A5-A368-4DA0-B970-506B89DF4A5D}">
          <x14:formula1>
            <xm:f>'Tabla Impacto'!$B$3:$B$8</xm:f>
          </x14:formula1>
          <xm:sqref>L8:L9 L11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tabColor rgb="FF00B050"/>
  </sheetPr>
  <dimension ref="A1:BP13"/>
  <sheetViews>
    <sheetView topLeftCell="B1" zoomScale="60" zoomScaleNormal="60" workbookViewId="0">
      <selection activeCell="B11" sqref="B11:AJ11"/>
    </sheetView>
  </sheetViews>
  <sheetFormatPr baseColWidth="10" defaultColWidth="11.28515625" defaultRowHeight="14.25" x14ac:dyDescent="0.2"/>
  <cols>
    <col min="1" max="1" width="4" style="281" bestFit="1" customWidth="1"/>
    <col min="2" max="2" width="14.140625" style="281" customWidth="1"/>
    <col min="3" max="3" width="16.85546875" style="281" customWidth="1"/>
    <col min="4" max="4" width="20.28515625" style="281" customWidth="1"/>
    <col min="5" max="5" width="32.28515625" style="274" customWidth="1"/>
    <col min="6" max="6" width="19" style="282" customWidth="1"/>
    <col min="7" max="7" width="17.85546875" style="274" customWidth="1"/>
    <col min="8" max="8" width="16.28515625" style="274" customWidth="1"/>
    <col min="9" max="9" width="6.140625" style="274" bestFit="1" customWidth="1"/>
    <col min="10" max="10" width="27.140625" style="274" bestFit="1" customWidth="1"/>
    <col min="11" max="11" width="30.28515625" style="274" customWidth="1"/>
    <col min="12" max="12" width="17.28515625" style="274" customWidth="1"/>
    <col min="13" max="13" width="6.140625" style="274" bestFit="1" customWidth="1"/>
    <col min="14" max="14" width="16" style="274" customWidth="1"/>
    <col min="15" max="15" width="5.85546875" style="274" customWidth="1"/>
    <col min="16" max="16" width="64.85546875" style="274" customWidth="1"/>
    <col min="17" max="17" width="17" style="274" customWidth="1"/>
    <col min="18" max="18" width="6.85546875" style="274" customWidth="1"/>
    <col min="19" max="19" width="5" style="274" customWidth="1"/>
    <col min="20" max="20" width="5.28515625" style="274" customWidth="1"/>
    <col min="21" max="21" width="7.140625" style="274" customWidth="1"/>
    <col min="22" max="22" width="6.85546875" style="274" customWidth="1"/>
    <col min="23" max="23" width="7.28515625" style="274" customWidth="1"/>
    <col min="24" max="24" width="10.7109375" style="274" customWidth="1"/>
    <col min="25" max="25" width="8.85546875" style="274" customWidth="1"/>
    <col min="26" max="26" width="10.28515625" style="274" customWidth="1"/>
    <col min="27" max="28" width="9.140625" style="274" customWidth="1"/>
    <col min="29" max="29" width="8.28515625" style="274" customWidth="1"/>
    <col min="30" max="30" width="7.140625" style="274" customWidth="1"/>
    <col min="31" max="31" width="33.140625" style="274" customWidth="1"/>
    <col min="32" max="32" width="18.85546875" style="274" customWidth="1"/>
    <col min="33" max="33" width="16.85546875" style="274" customWidth="1"/>
    <col min="34" max="34" width="16.28515625" style="274" customWidth="1"/>
    <col min="35" max="35" width="22.7109375" style="274" customWidth="1"/>
    <col min="36" max="36" width="21" style="274" customWidth="1"/>
    <col min="37" max="16384" width="11.28515625" style="274"/>
  </cols>
  <sheetData>
    <row r="1" spans="1:68" ht="45" customHeight="1" x14ac:dyDescent="0.2">
      <c r="A1" s="608" t="s">
        <v>60</v>
      </c>
      <c r="B1" s="608"/>
      <c r="C1" s="608"/>
      <c r="D1" s="608"/>
      <c r="E1" s="608"/>
      <c r="F1" s="608"/>
      <c r="G1" s="608"/>
      <c r="H1" s="608"/>
      <c r="I1" s="608"/>
      <c r="J1" s="608"/>
      <c r="K1" s="608"/>
      <c r="L1" s="608"/>
      <c r="M1" s="608"/>
      <c r="N1" s="608"/>
      <c r="O1" s="608"/>
      <c r="P1" s="608"/>
      <c r="Q1" s="608"/>
      <c r="R1" s="608"/>
      <c r="S1" s="608"/>
      <c r="T1" s="608"/>
      <c r="U1" s="608"/>
      <c r="V1" s="608"/>
      <c r="W1" s="608"/>
      <c r="X1" s="608"/>
      <c r="Y1" s="608"/>
      <c r="Z1" s="608"/>
      <c r="AA1" s="608"/>
      <c r="AB1" s="608"/>
      <c r="AC1" s="608"/>
      <c r="AD1" s="608"/>
      <c r="AE1" s="608"/>
      <c r="AF1" s="608"/>
      <c r="AG1" s="608"/>
      <c r="AH1" s="608"/>
      <c r="AI1" s="608"/>
      <c r="AJ1" s="608"/>
      <c r="AK1" s="273"/>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273"/>
      <c r="BM1" s="273"/>
      <c r="BN1" s="273"/>
      <c r="BO1" s="273"/>
      <c r="BP1" s="273"/>
    </row>
    <row r="2" spans="1:68" ht="26.65" customHeight="1" x14ac:dyDescent="0.2">
      <c r="A2" s="610" t="s">
        <v>61</v>
      </c>
      <c r="B2" s="610"/>
      <c r="C2" s="698" t="s">
        <v>218</v>
      </c>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700"/>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row>
    <row r="3" spans="1:68" ht="30.4" customHeight="1" x14ac:dyDescent="0.2">
      <c r="A3" s="610" t="s">
        <v>62</v>
      </c>
      <c r="B3" s="610"/>
      <c r="C3" s="698" t="s">
        <v>219</v>
      </c>
      <c r="D3" s="699"/>
      <c r="E3" s="699"/>
      <c r="F3" s="699"/>
      <c r="G3" s="699"/>
      <c r="H3" s="699"/>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I3" s="699"/>
      <c r="AJ3" s="700"/>
      <c r="AK3" s="27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c r="BJ3" s="273"/>
      <c r="BK3" s="273"/>
      <c r="BL3" s="273"/>
      <c r="BM3" s="273"/>
      <c r="BN3" s="273"/>
      <c r="BO3" s="273"/>
      <c r="BP3" s="273"/>
    </row>
    <row r="4" spans="1:68" ht="49.9" customHeight="1" x14ac:dyDescent="0.2">
      <c r="A4" s="610" t="s">
        <v>63</v>
      </c>
      <c r="B4" s="610"/>
      <c r="C4" s="670" t="s">
        <v>220</v>
      </c>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2"/>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row>
    <row r="5" spans="1:68" ht="45" customHeight="1" x14ac:dyDescent="0.2">
      <c r="A5" s="701" t="s">
        <v>64</v>
      </c>
      <c r="B5" s="701"/>
      <c r="C5" s="701"/>
      <c r="D5" s="701"/>
      <c r="E5" s="701"/>
      <c r="F5" s="701"/>
      <c r="G5" s="701"/>
      <c r="H5" s="704" t="s">
        <v>65</v>
      </c>
      <c r="I5" s="704"/>
      <c r="J5" s="704"/>
      <c r="K5" s="704"/>
      <c r="L5" s="704"/>
      <c r="M5" s="704"/>
      <c r="N5" s="704"/>
      <c r="O5" s="701" t="s">
        <v>66</v>
      </c>
      <c r="P5" s="701"/>
      <c r="Q5" s="701"/>
      <c r="R5" s="701"/>
      <c r="S5" s="701"/>
      <c r="T5" s="701"/>
      <c r="U5" s="701"/>
      <c r="V5" s="701"/>
      <c r="W5" s="701"/>
      <c r="X5" s="704" t="s">
        <v>67</v>
      </c>
      <c r="Y5" s="704"/>
      <c r="Z5" s="704"/>
      <c r="AA5" s="704"/>
      <c r="AB5" s="704"/>
      <c r="AC5" s="704"/>
      <c r="AD5" s="704"/>
      <c r="AE5" s="701" t="s">
        <v>68</v>
      </c>
      <c r="AF5" s="701"/>
      <c r="AG5" s="701"/>
      <c r="AH5" s="701"/>
      <c r="AI5" s="701"/>
      <c r="AJ5" s="701"/>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row>
    <row r="6" spans="1:68" ht="16.5" customHeight="1" x14ac:dyDescent="0.2">
      <c r="A6" s="702" t="s">
        <v>69</v>
      </c>
      <c r="B6" s="613" t="s">
        <v>15</v>
      </c>
      <c r="C6" s="615" t="s">
        <v>17</v>
      </c>
      <c r="D6" s="615" t="s">
        <v>19</v>
      </c>
      <c r="E6" s="613" t="s">
        <v>21</v>
      </c>
      <c r="F6" s="615" t="s">
        <v>23</v>
      </c>
      <c r="G6" s="615" t="s">
        <v>70</v>
      </c>
      <c r="H6" s="615" t="s">
        <v>71</v>
      </c>
      <c r="I6" s="613" t="s">
        <v>72</v>
      </c>
      <c r="J6" s="615" t="s">
        <v>73</v>
      </c>
      <c r="K6" s="615" t="s">
        <v>74</v>
      </c>
      <c r="L6" s="615" t="s">
        <v>75</v>
      </c>
      <c r="M6" s="613" t="s">
        <v>72</v>
      </c>
      <c r="N6" s="615" t="s">
        <v>29</v>
      </c>
      <c r="O6" s="612" t="s">
        <v>76</v>
      </c>
      <c r="P6" s="615" t="s">
        <v>31</v>
      </c>
      <c r="Q6" s="615" t="s">
        <v>33</v>
      </c>
      <c r="R6" s="615" t="s">
        <v>77</v>
      </c>
      <c r="S6" s="615"/>
      <c r="T6" s="615"/>
      <c r="U6" s="615"/>
      <c r="V6" s="615"/>
      <c r="W6" s="615"/>
      <c r="X6" s="612" t="s">
        <v>78</v>
      </c>
      <c r="Y6" s="612" t="s">
        <v>79</v>
      </c>
      <c r="Z6" s="612" t="s">
        <v>72</v>
      </c>
      <c r="AA6" s="612" t="s">
        <v>80</v>
      </c>
      <c r="AB6" s="612" t="s">
        <v>72</v>
      </c>
      <c r="AC6" s="612" t="s">
        <v>81</v>
      </c>
      <c r="AD6" s="612" t="s">
        <v>49</v>
      </c>
      <c r="AE6" s="615" t="s">
        <v>68</v>
      </c>
      <c r="AF6" s="615" t="s">
        <v>82</v>
      </c>
      <c r="AG6" s="615" t="s">
        <v>264</v>
      </c>
      <c r="AH6" s="615" t="s">
        <v>265</v>
      </c>
      <c r="AI6" s="615" t="s">
        <v>262</v>
      </c>
      <c r="AJ6" s="615" t="s">
        <v>263</v>
      </c>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8" s="277" customFormat="1" ht="94.9" customHeight="1" x14ac:dyDescent="0.25">
      <c r="A7" s="702"/>
      <c r="B7" s="613"/>
      <c r="C7" s="615"/>
      <c r="D7" s="615"/>
      <c r="E7" s="613"/>
      <c r="F7" s="615"/>
      <c r="G7" s="615"/>
      <c r="H7" s="615"/>
      <c r="I7" s="613"/>
      <c r="J7" s="615"/>
      <c r="K7" s="615"/>
      <c r="L7" s="613"/>
      <c r="M7" s="613"/>
      <c r="N7" s="615"/>
      <c r="O7" s="612"/>
      <c r="P7" s="615"/>
      <c r="Q7" s="615"/>
      <c r="R7" s="269" t="s">
        <v>83</v>
      </c>
      <c r="S7" s="269" t="s">
        <v>84</v>
      </c>
      <c r="T7" s="269" t="s">
        <v>85</v>
      </c>
      <c r="U7" s="269" t="s">
        <v>86</v>
      </c>
      <c r="V7" s="269" t="s">
        <v>87</v>
      </c>
      <c r="W7" s="269" t="s">
        <v>88</v>
      </c>
      <c r="X7" s="612"/>
      <c r="Y7" s="612"/>
      <c r="Z7" s="612"/>
      <c r="AA7" s="612"/>
      <c r="AB7" s="612"/>
      <c r="AC7" s="612"/>
      <c r="AD7" s="612"/>
      <c r="AE7" s="615"/>
      <c r="AF7" s="615"/>
      <c r="AG7" s="615"/>
      <c r="AH7" s="615"/>
      <c r="AI7" s="615"/>
      <c r="AJ7" s="615"/>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row>
    <row r="8" spans="1:68" s="279" customFormat="1" ht="107.65" customHeight="1" x14ac:dyDescent="0.25">
      <c r="A8" s="722">
        <v>1</v>
      </c>
      <c r="B8" s="621" t="s">
        <v>320</v>
      </c>
      <c r="C8" s="621" t="s">
        <v>221</v>
      </c>
      <c r="D8" s="621" t="s">
        <v>222</v>
      </c>
      <c r="E8" s="621" t="s">
        <v>338</v>
      </c>
      <c r="F8" s="621" t="s">
        <v>281</v>
      </c>
      <c r="G8" s="624">
        <f>12+4+4+12+1+2+12+12+12+12+2+12+3+6+1+6+1+12+1+1+15+100+4+12+12</f>
        <v>271</v>
      </c>
      <c r="H8" s="625" t="str">
        <f>IF(G8&lt;=0,"",IF(G8&lt;=2,"Muy Baja",IF(G8&lt;=24,"Baja",IF(G8&lt;=500,"Media",IF(G8&lt;=5000,"Alta","Muy Alta")))))</f>
        <v>Media</v>
      </c>
      <c r="I8" s="622">
        <f>IF(H8="","",IF(H8="Muy Baja",0.2,IF(H8="Baja",0.4,IF(H8="Media",0.6,IF(H8="Alta",0.8,IF(H8="Muy Alta",1,))))))</f>
        <v>0.6</v>
      </c>
      <c r="J8" s="626" t="str">
        <f>IF(OR($B$8="Reputacional",$B$8="Económica"),VLOOKUP($L$8,'Tabla Impacto'!$B$4:$G$8,4,0),IF(AND($B$8="Reputacional y Económica"),VLOOKUP($L$8,'Tabla Impacto'!$B$4:$G$8,5,0),((VLOOKUP($L$8,'Tabla Impacto'!$B$4:$G$8,2,0)))))</f>
        <v>El Impacto se evalúo como Mayor. El riesgo afecta la imagen de de la entidad con efecto publicitario sostenido a nivel de sector administrativo, nivel departamental o municipal con una posible afectación entre 100 y 500 SMLMV.</v>
      </c>
      <c r="K8" s="626" t="str">
        <f>IF(OR($B$8="Reputacional",$B$8="Económica"),VLOOKUP($L$8,'Tabla Impacto'!$B$4:$G$8,4,0),IF(AND($B$8="Reputacional y Económica"),VLOOKUP($L$8,'Tabla Impacto'!$B$4:$G$8,5,0),((VLOOKUP($L$8,'Tabla Impacto'!$B$4:$G$8,2,0)))))</f>
        <v>El Impacto se evalúo como Mayor. El riesgo afecta la imagen de de la entidad con efecto publicitario sostenido a nivel de sector administrativo, nivel departamental o municipal con una posible afectación entre 100 y 500 SMLMV.</v>
      </c>
      <c r="L8" s="707" t="s">
        <v>145</v>
      </c>
      <c r="M8" s="622">
        <f>VLOOKUP(L8,'Tabla Impacto'!$B$4:$G$8,6,0)</f>
        <v>0.8</v>
      </c>
      <c r="N8" s="706" t="str">
        <f>IF(OR(AND(H8="Muy Baja",L8="Leve"),AND(H8="Muy Baja",L8="Menor"),AND(H8="Baja",L8="Leve")),"Bajo",IF(OR(AND(H8="Muy baja",L8="Moderado"),AND(H8="Baja",L8="Menor"),AND(H8="Baja",L8="Moderado"),AND(H8="Media",L8="Leve"),AND(H8="Media",L8="Menor"),AND(H8="Media",L8="Moderado"),AND(H8="Alta",L8="Leve"),AND(H8="Alta",L8="Menor")),"Moderado",IF(OR(AND(H8="Muy Baja",L8="Mayor"),AND(H8="Baja",L8="Mayor"),AND(H8="Media",L8="Mayor"),AND(H8="Alta",L8="Moderado"),AND(H8="Alta",L8="Mayor"),AND(H8="Muy Alta",L8="Leve"),AND(H8="Muy Alta",L8="Menor"),AND(H8="Muy Alta",L8="Moderado"),AND(H8="Muy Alta",L8="Mayor")),"Alto",IF(OR(AND(H8="Muy Baja",L8="Catastrófico"),AND(H8="Baja",L8="Catastrófico"),AND(H8="Media",L8="Catastrófico"),AND(H8="Alta",L8="Catastrófico"),AND(H8="Muy Alta",L8="Catastrófico")),"Extremo",""))))</f>
        <v>Alto</v>
      </c>
      <c r="O8" s="227">
        <v>1</v>
      </c>
      <c r="P8" s="256" t="s">
        <v>385</v>
      </c>
      <c r="Q8" s="262" t="str">
        <f t="shared" ref="Q8:Q10" si="0">IF(OR(R8="Preventivo",R8="Detectivo"),"Probabilidad",IF(R8="Correctivo","Impacto",""))</f>
        <v>Probabilidad</v>
      </c>
      <c r="R8" s="263" t="s">
        <v>91</v>
      </c>
      <c r="S8" s="263" t="s">
        <v>92</v>
      </c>
      <c r="T8" s="264" t="str">
        <f t="shared" ref="T8:T10" si="1">IF(AND(R8="Preventivo",S8="Automático"),"50%",IF(AND(R8="Preventivo",S8="Manual"),"40%",IF(AND(R8="Detectivo",S8="Automático"),"40%",IF(AND(R8="Detectivo",S8="Manual"),"30%",IF(AND(R8="Correctivo",S8="Automático"),"35%",IF(AND(R8="Correctivo",S8="Manual"),"25%",""))))))</f>
        <v>40%</v>
      </c>
      <c r="U8" s="263" t="s">
        <v>93</v>
      </c>
      <c r="V8" s="263" t="s">
        <v>94</v>
      </c>
      <c r="W8" s="263" t="s">
        <v>95</v>
      </c>
      <c r="X8" s="265">
        <f>IFERROR(IF(Q8="Probabilidad",(I8-(+I8*T8)),IF(Q8="Impacto",I8,"")),"")</f>
        <v>0.36</v>
      </c>
      <c r="Y8" s="266" t="str">
        <f>IFERROR(IF(X8="","",IF(X8&lt;=0.2,"Muy Baja",IF(X8&lt;=0.4,"Baja",IF(X8&lt;=0.6,"Media",IF(X8&lt;=0.8,"Alta","Muy Alta"))))),"")</f>
        <v>Baja</v>
      </c>
      <c r="Z8" s="264">
        <f t="shared" ref="Z8:Z10" si="2">+X8</f>
        <v>0.36</v>
      </c>
      <c r="AA8" s="266" t="str">
        <f>IFERROR(IF(AB8="","",IF(AB8&lt;=0.2,"Leve",IF(AB8&lt;=0.4,"Menor",IF(AB8&lt;=0.6,"Moderado",IF(AB8&lt;=0.8,"Mayor","Catastrófico"))))),"")</f>
        <v>Mayor</v>
      </c>
      <c r="AB8" s="264">
        <f>IFERROR(IF(Q8="Impacto",(M8-(+M8*T8)),IF(Q8="Probabilidad",M8,"")),"")</f>
        <v>0.8</v>
      </c>
      <c r="AC8" s="267" t="str">
        <f t="shared" ref="AC8:AC10" si="3">IFERROR(IF(OR(AND(Y8="Muy Baja",AA8="Leve"),AND(Y8="Muy Baja",AA8="Menor"),AND(Y8="Baja",AA8="Leve")),"Bajo",IF(OR(AND(Y8="Muy baja",AA8="Moderado"),AND(Y8="Baja",AA8="Menor"),AND(Y8="Baja",AA8="Moderado"),AND(Y8="Media",AA8="Leve"),AND(Y8="Media",AA8="Menor"),AND(Y8="Media",AA8="Moderado"),AND(Y8="Alta",AA8="Leve"),AND(Y8="Alta",AA8="Menor")),"Moderado",IF(OR(AND(Y8="Muy Baja",AA8="Mayor"),AND(Y8="Baja",AA8="Mayor"),AND(Y8="Media",AA8="Mayor"),AND(Y8="Alta",AA8="Moderado"),AND(Y8="Alta",AA8="Mayor"),AND(Y8="Muy Alta",AA8="Leve"),AND(Y8="Muy Alta",AA8="Menor"),AND(Y8="Muy Alta",AA8="Moderado"),AND(Y8="Muy Alta",AA8="Mayor")),"Alto",IF(OR(AND(Y8="Muy Baja",AA8="Catastrófico"),AND(Y8="Baja",AA8="Catastrófico"),AND(Y8="Media",AA8="Catastrófico"),AND(Y8="Alta",AA8="Catastrófico"),AND(Y8="Muy Alta",AA8="Catastrófico")),"Extremo","")))),"")</f>
        <v>Alto</v>
      </c>
      <c r="AD8" s="263" t="s">
        <v>96</v>
      </c>
      <c r="AE8" s="232" t="s">
        <v>339</v>
      </c>
      <c r="AF8" s="232" t="s">
        <v>223</v>
      </c>
      <c r="AG8" s="232" t="s">
        <v>399</v>
      </c>
      <c r="AH8" s="354" t="str">
        <f>AG8</f>
        <v>Enero a diciembre de 2026</v>
      </c>
      <c r="AI8" s="226" t="s">
        <v>340</v>
      </c>
      <c r="AJ8" s="233" t="s">
        <v>268</v>
      </c>
      <c r="AK8" s="291"/>
      <c r="AL8" s="291"/>
      <c r="AM8" s="291"/>
      <c r="AN8" s="291"/>
      <c r="AO8" s="291"/>
      <c r="AP8" s="291"/>
      <c r="AQ8" s="291"/>
      <c r="AR8" s="291"/>
      <c r="AS8" s="291"/>
      <c r="AT8" s="291"/>
      <c r="AU8" s="291"/>
      <c r="AV8" s="291"/>
      <c r="AW8" s="291"/>
      <c r="AX8" s="291"/>
      <c r="AY8" s="291"/>
      <c r="AZ8" s="291"/>
      <c r="BA8" s="291"/>
      <c r="BB8" s="291"/>
      <c r="BC8" s="291"/>
      <c r="BD8" s="291"/>
      <c r="BE8" s="291"/>
      <c r="BF8" s="291"/>
      <c r="BG8" s="291"/>
      <c r="BH8" s="291"/>
      <c r="BI8" s="291"/>
      <c r="BJ8" s="291"/>
      <c r="BK8" s="291"/>
      <c r="BL8" s="291"/>
      <c r="BM8" s="291"/>
      <c r="BN8" s="291"/>
      <c r="BO8" s="291"/>
      <c r="BP8" s="291"/>
    </row>
    <row r="9" spans="1:68" s="279" customFormat="1" ht="175.9" customHeight="1" x14ac:dyDescent="0.25">
      <c r="A9" s="722"/>
      <c r="B9" s="621"/>
      <c r="C9" s="621"/>
      <c r="D9" s="621"/>
      <c r="E9" s="621"/>
      <c r="F9" s="621"/>
      <c r="G9" s="624"/>
      <c r="H9" s="625"/>
      <c r="I9" s="622"/>
      <c r="J9" s="626"/>
      <c r="K9" s="626"/>
      <c r="L9" s="707"/>
      <c r="M9" s="622"/>
      <c r="N9" s="706"/>
      <c r="O9" s="227">
        <v>2</v>
      </c>
      <c r="P9" s="256" t="s">
        <v>386</v>
      </c>
      <c r="Q9" s="262" t="str">
        <f t="shared" si="0"/>
        <v>Probabilidad</v>
      </c>
      <c r="R9" s="263" t="s">
        <v>91</v>
      </c>
      <c r="S9" s="263" t="s">
        <v>92</v>
      </c>
      <c r="T9" s="264" t="str">
        <f t="shared" si="1"/>
        <v>40%</v>
      </c>
      <c r="U9" s="263" t="s">
        <v>93</v>
      </c>
      <c r="V9" s="263" t="s">
        <v>94</v>
      </c>
      <c r="W9" s="263" t="s">
        <v>95</v>
      </c>
      <c r="X9" s="265">
        <f>IFERROR(IF(AND(Q8="Probabilidad",Q9="Probabilidad"),(Z8-(+Z8*T9)),IF(Q9="Probabilidad",(I8-(+I8*T9)),IF(Q9="Impacto",Z8,""))),"")</f>
        <v>0.216</v>
      </c>
      <c r="Y9" s="266" t="str">
        <f t="shared" ref="Y9" si="4">IFERROR(IF(X9="","",IF(X9&lt;=0.2,"Muy Baja",IF(X9&lt;=0.4,"Baja",IF(X9&lt;=0.6,"Media",IF(X9&lt;=0.8,"Alta","Muy Alta"))))),"")</f>
        <v>Baja</v>
      </c>
      <c r="Z9" s="264">
        <f>+X9</f>
        <v>0.216</v>
      </c>
      <c r="AA9" s="266" t="str">
        <f t="shared" ref="AA9" si="5">IFERROR(IF(AB9="","",IF(AB9&lt;=0.2,"Leve",IF(AB9&lt;=0.4,"Menor",IF(AB9&lt;=0.6,"Moderado",IF(AB9&lt;=0.8,"Mayor","Catastrófico"))))),"")</f>
        <v>Mayor</v>
      </c>
      <c r="AB9" s="264">
        <f>IFERROR(IF(AND(Q8="Impacto",Q9="Impacto"),(AB8-(+AB8*T9)),IF(Q9="Impacto",($M$8-(+$M$8*T9)),IF(Q9="Probabilidad",AB8,""))),"")</f>
        <v>0.8</v>
      </c>
      <c r="AC9" s="267" t="str">
        <f t="shared" si="3"/>
        <v>Alto</v>
      </c>
      <c r="AD9" s="263" t="s">
        <v>96</v>
      </c>
      <c r="AE9" s="232" t="s">
        <v>412</v>
      </c>
      <c r="AF9" s="232" t="s">
        <v>223</v>
      </c>
      <c r="AG9" s="232" t="s">
        <v>399</v>
      </c>
      <c r="AH9" s="354" t="str">
        <f t="shared" ref="AH9:AH10" si="6">AG9</f>
        <v>Enero a diciembre de 2026</v>
      </c>
      <c r="AI9" s="226" t="s">
        <v>430</v>
      </c>
      <c r="AJ9" s="233" t="s">
        <v>268</v>
      </c>
      <c r="AK9" s="291"/>
      <c r="AL9" s="291"/>
      <c r="AM9" s="291"/>
      <c r="AN9" s="291"/>
      <c r="AO9" s="291"/>
      <c r="AP9" s="291"/>
      <c r="AQ9" s="291"/>
      <c r="AR9" s="291"/>
      <c r="AS9" s="291"/>
      <c r="AT9" s="291"/>
      <c r="AU9" s="291"/>
      <c r="AV9" s="291"/>
      <c r="AW9" s="291"/>
      <c r="AX9" s="291"/>
      <c r="AY9" s="291"/>
      <c r="AZ9" s="291"/>
      <c r="BA9" s="291"/>
      <c r="BB9" s="291"/>
      <c r="BC9" s="291"/>
      <c r="BD9" s="291"/>
      <c r="BE9" s="291"/>
      <c r="BF9" s="291"/>
      <c r="BG9" s="291"/>
      <c r="BH9" s="291"/>
      <c r="BI9" s="291"/>
      <c r="BJ9" s="291"/>
      <c r="BK9" s="291"/>
      <c r="BL9" s="291"/>
      <c r="BM9" s="291"/>
      <c r="BN9" s="291"/>
      <c r="BO9" s="291"/>
      <c r="BP9" s="291"/>
    </row>
    <row r="10" spans="1:68" ht="122.25" customHeight="1" x14ac:dyDescent="0.2">
      <c r="A10" s="722"/>
      <c r="B10" s="621"/>
      <c r="C10" s="621"/>
      <c r="D10" s="621"/>
      <c r="E10" s="621"/>
      <c r="F10" s="621"/>
      <c r="G10" s="624"/>
      <c r="H10" s="625"/>
      <c r="I10" s="622"/>
      <c r="J10" s="626"/>
      <c r="K10" s="626"/>
      <c r="L10" s="707"/>
      <c r="M10" s="622"/>
      <c r="N10" s="706"/>
      <c r="O10" s="227">
        <v>3</v>
      </c>
      <c r="P10" s="256" t="s">
        <v>387</v>
      </c>
      <c r="Q10" s="262" t="str">
        <f t="shared" si="0"/>
        <v>Probabilidad</v>
      </c>
      <c r="R10" s="263" t="s">
        <v>91</v>
      </c>
      <c r="S10" s="263" t="s">
        <v>92</v>
      </c>
      <c r="T10" s="264" t="str">
        <f t="shared" si="1"/>
        <v>40%</v>
      </c>
      <c r="U10" s="263" t="s">
        <v>93</v>
      </c>
      <c r="V10" s="263" t="s">
        <v>94</v>
      </c>
      <c r="W10" s="263" t="s">
        <v>95</v>
      </c>
      <c r="X10" s="268">
        <f>IFERROR(IF(AND(Q8="Probabilidad",Q10="Probabilidad"),(Z8-(+Z8*T10)),IF(Q10="Probabilidad",(I8-(+I8*T10)),IF(Q10="Impacto",Z8,""))),"")</f>
        <v>0.216</v>
      </c>
      <c r="Y10" s="266" t="str">
        <f t="shared" ref="Y10" si="7">IFERROR(IF(X10="","",IF(X10&lt;=0.2,"Muy Baja",IF(X10&lt;=0.4,"Baja",IF(X10&lt;=0.6,"Media",IF(X10&lt;=0.8,"Alta","Muy Alta"))))),"")</f>
        <v>Baja</v>
      </c>
      <c r="Z10" s="264">
        <f t="shared" si="2"/>
        <v>0.216</v>
      </c>
      <c r="AA10" s="266" t="str">
        <f t="shared" ref="AA10" si="8">IFERROR(IF(AB10="","",IF(AB10&lt;=0.2,"Leve",IF(AB10&lt;=0.4,"Menor",IF(AB10&lt;=0.6,"Moderado",IF(AB10&lt;=0.8,"Mayor","Catastrófico"))))),"")</f>
        <v>Mayor</v>
      </c>
      <c r="AB10" s="264">
        <f>IFERROR(IF(AND(Q9="Impacto",Q10="Impacto"),(AB9-(+AB8*T10)),IF(Q10="Impacto",($M$8-(+$M$8*T10)),IF(Q10="Probabilidad",AB8,""))),"")</f>
        <v>0.8</v>
      </c>
      <c r="AC10" s="267" t="str">
        <f t="shared" si="3"/>
        <v>Alto</v>
      </c>
      <c r="AD10" s="263" t="s">
        <v>96</v>
      </c>
      <c r="AE10" s="232" t="s">
        <v>411</v>
      </c>
      <c r="AF10" s="232" t="s">
        <v>223</v>
      </c>
      <c r="AG10" s="232" t="s">
        <v>399</v>
      </c>
      <c r="AH10" s="354" t="str">
        <f t="shared" si="6"/>
        <v>Enero a diciembre de 2026</v>
      </c>
      <c r="AI10" s="226" t="s">
        <v>388</v>
      </c>
      <c r="AJ10" s="233" t="s">
        <v>268</v>
      </c>
      <c r="AK10" s="273"/>
      <c r="AL10" s="273"/>
      <c r="AM10" s="273"/>
      <c r="AN10" s="273"/>
      <c r="AO10" s="273"/>
      <c r="AP10" s="273"/>
      <c r="AQ10" s="273"/>
      <c r="AR10" s="273"/>
      <c r="AS10" s="273"/>
      <c r="AT10" s="273"/>
      <c r="AU10" s="273"/>
      <c r="AV10" s="273"/>
      <c r="AW10" s="273"/>
      <c r="AX10" s="273"/>
      <c r="AY10" s="273"/>
      <c r="AZ10" s="273"/>
      <c r="BA10" s="273"/>
      <c r="BB10" s="273"/>
      <c r="BC10" s="273"/>
      <c r="BD10" s="273"/>
      <c r="BE10" s="273"/>
      <c r="BF10" s="273"/>
      <c r="BG10" s="273"/>
      <c r="BH10" s="273"/>
      <c r="BI10" s="273"/>
      <c r="BJ10" s="273"/>
      <c r="BK10" s="273"/>
      <c r="BL10" s="273"/>
      <c r="BM10" s="273"/>
      <c r="BN10" s="273"/>
      <c r="BO10" s="273"/>
      <c r="BP10" s="273"/>
    </row>
    <row r="11" spans="1:68" ht="49.9" customHeight="1" x14ac:dyDescent="0.2">
      <c r="A11" s="292"/>
      <c r="B11" s="680" t="s">
        <v>423</v>
      </c>
      <c r="C11" s="681"/>
      <c r="D11" s="681"/>
      <c r="E11" s="681"/>
      <c r="F11" s="681"/>
      <c r="G11" s="681"/>
      <c r="H11" s="681"/>
      <c r="I11" s="681"/>
      <c r="J11" s="681"/>
      <c r="K11" s="681"/>
      <c r="L11" s="681"/>
      <c r="M11" s="681"/>
      <c r="N11" s="681"/>
      <c r="O11" s="681"/>
      <c r="P11" s="681"/>
      <c r="Q11" s="681"/>
      <c r="R11" s="681"/>
      <c r="S11" s="681"/>
      <c r="T11" s="681"/>
      <c r="U11" s="681"/>
      <c r="V11" s="681"/>
      <c r="W11" s="681"/>
      <c r="X11" s="681"/>
      <c r="Y11" s="681"/>
      <c r="Z11" s="681"/>
      <c r="AA11" s="681"/>
      <c r="AB11" s="681"/>
      <c r="AC11" s="681"/>
      <c r="AD11" s="681"/>
      <c r="AE11" s="681"/>
      <c r="AF11" s="681"/>
      <c r="AG11" s="681"/>
      <c r="AH11" s="681"/>
      <c r="AI11" s="681"/>
      <c r="AJ11" s="682"/>
    </row>
    <row r="13" spans="1:68" ht="15" x14ac:dyDescent="0.2">
      <c r="A13" s="274"/>
      <c r="B13" s="283" t="s">
        <v>106</v>
      </c>
      <c r="C13" s="274"/>
      <c r="D13" s="274"/>
      <c r="F13" s="274"/>
    </row>
  </sheetData>
  <dataConsolidate link="1"/>
  <mergeCells count="58">
    <mergeCell ref="B11:AJ11"/>
    <mergeCell ref="M8:M10"/>
    <mergeCell ref="N8:N10"/>
    <mergeCell ref="G8:G10"/>
    <mergeCell ref="H8:H10"/>
    <mergeCell ref="I8:I10"/>
    <mergeCell ref="J8:J10"/>
    <mergeCell ref="K8:K10"/>
    <mergeCell ref="L8:L10"/>
    <mergeCell ref="F8:F10"/>
    <mergeCell ref="A8:A10"/>
    <mergeCell ref="B8:B10"/>
    <mergeCell ref="C8:C10"/>
    <mergeCell ref="D8:D10"/>
    <mergeCell ref="E8:E10"/>
    <mergeCell ref="P6:P7"/>
    <mergeCell ref="Q6:Q7"/>
    <mergeCell ref="R6:W6"/>
    <mergeCell ref="X6:X7"/>
    <mergeCell ref="Y6:Y7"/>
    <mergeCell ref="J6:J7"/>
    <mergeCell ref="K6:K7"/>
    <mergeCell ref="L6:L7"/>
    <mergeCell ref="M6:M7"/>
    <mergeCell ref="N6:N7"/>
    <mergeCell ref="AH6:AH7"/>
    <mergeCell ref="AI6:AI7"/>
    <mergeCell ref="AJ6:AJ7"/>
    <mergeCell ref="AD6:AD7"/>
    <mergeCell ref="AB6:AB7"/>
    <mergeCell ref="AC6:AC7"/>
    <mergeCell ref="A4:B4"/>
    <mergeCell ref="A5:G5"/>
    <mergeCell ref="H5:N5"/>
    <mergeCell ref="O5:W5"/>
    <mergeCell ref="C4:AJ4"/>
    <mergeCell ref="X5:AD5"/>
    <mergeCell ref="O6:O7"/>
    <mergeCell ref="AE5:AJ5"/>
    <mergeCell ref="A6:A7"/>
    <mergeCell ref="B6:B7"/>
    <mergeCell ref="C6:C7"/>
    <mergeCell ref="D6:D7"/>
    <mergeCell ref="E6:E7"/>
    <mergeCell ref="F6:F7"/>
    <mergeCell ref="G6:G7"/>
    <mergeCell ref="H6:H7"/>
    <mergeCell ref="I6:I7"/>
    <mergeCell ref="AG6:AG7"/>
    <mergeCell ref="Z6:Z7"/>
    <mergeCell ref="AE6:AE7"/>
    <mergeCell ref="AF6:AF7"/>
    <mergeCell ref="AA6:AA7"/>
    <mergeCell ref="A1:AJ1"/>
    <mergeCell ref="A2:B2"/>
    <mergeCell ref="A3:B3"/>
    <mergeCell ref="C2:AJ2"/>
    <mergeCell ref="C3:AJ3"/>
  </mergeCells>
  <conditionalFormatting sqref="H8:H9">
    <cfRule type="cellIs" dxfId="68" priority="312" operator="equal">
      <formula>"Muy Alta"</formula>
    </cfRule>
    <cfRule type="cellIs" dxfId="67" priority="313" operator="equal">
      <formula>"Alta"</formula>
    </cfRule>
    <cfRule type="cellIs" dxfId="66" priority="314" operator="equal">
      <formula>"Media"</formula>
    </cfRule>
    <cfRule type="cellIs" dxfId="65" priority="315" operator="equal">
      <formula>"Baja"</formula>
    </cfRule>
    <cfRule type="cellIs" dxfId="64" priority="316" operator="equal">
      <formula>"Muy Baja"</formula>
    </cfRule>
  </conditionalFormatting>
  <conditionalFormatting sqref="L8:L9">
    <cfRule type="cellIs" dxfId="63" priority="58" operator="equal">
      <formula>"Catastrófico"</formula>
    </cfRule>
    <cfRule type="cellIs" dxfId="62" priority="59" operator="equal">
      <formula>"Mayor"</formula>
    </cfRule>
    <cfRule type="cellIs" dxfId="61" priority="60" operator="equal">
      <formula>"Moderado"</formula>
    </cfRule>
    <cfRule type="cellIs" dxfId="60" priority="61" operator="equal">
      <formula>"Menor"</formula>
    </cfRule>
    <cfRule type="cellIs" dxfId="59" priority="62" operator="equal">
      <formula>"Leve"</formula>
    </cfRule>
  </conditionalFormatting>
  <conditionalFormatting sqref="M8:M9">
    <cfRule type="containsText" dxfId="58" priority="57" operator="containsText" text="❌">
      <formula>NOT(ISERROR(SEARCH("❌",M8)))</formula>
    </cfRule>
  </conditionalFormatting>
  <conditionalFormatting sqref="N8:N9">
    <cfRule type="cellIs" dxfId="57" priority="303" operator="equal">
      <formula>"Extremo"</formula>
    </cfRule>
    <cfRule type="cellIs" dxfId="56" priority="304" operator="equal">
      <formula>"Alto"</formula>
    </cfRule>
    <cfRule type="cellIs" dxfId="55" priority="305" operator="equal">
      <formula>"Moderado"</formula>
    </cfRule>
    <cfRule type="cellIs" dxfId="54" priority="306" operator="equal">
      <formula>"Bajo"</formula>
    </cfRule>
  </conditionalFormatting>
  <conditionalFormatting sqref="Y8:Y10">
    <cfRule type="cellIs" dxfId="53" priority="10" operator="equal">
      <formula>"Muy Alta"</formula>
    </cfRule>
    <cfRule type="cellIs" dxfId="52" priority="11" operator="equal">
      <formula>"Alta"</formula>
    </cfRule>
    <cfRule type="cellIs" dxfId="51" priority="12" operator="equal">
      <formula>"Media"</formula>
    </cfRule>
    <cfRule type="cellIs" dxfId="50" priority="13" operator="equal">
      <formula>"Baja"</formula>
    </cfRule>
    <cfRule type="cellIs" dxfId="49" priority="14" operator="equal">
      <formula>"Muy Baja"</formula>
    </cfRule>
  </conditionalFormatting>
  <conditionalFormatting sqref="AA8:AA10">
    <cfRule type="cellIs" dxfId="48" priority="5" operator="equal">
      <formula>"Catastrófico"</formula>
    </cfRule>
    <cfRule type="cellIs" dxfId="47" priority="6" operator="equal">
      <formula>"Mayor"</formula>
    </cfRule>
    <cfRule type="cellIs" dxfId="46" priority="7" operator="equal">
      <formula>"Moderado"</formula>
    </cfRule>
    <cfRule type="cellIs" dxfId="45" priority="8" operator="equal">
      <formula>"Menor"</formula>
    </cfRule>
    <cfRule type="cellIs" dxfId="44" priority="9" operator="equal">
      <formula>"Leve"</formula>
    </cfRule>
  </conditionalFormatting>
  <conditionalFormatting sqref="AC8:AC10">
    <cfRule type="cellIs" dxfId="43" priority="1" operator="equal">
      <formula>"Extremo"</formula>
    </cfRule>
    <cfRule type="cellIs" dxfId="42" priority="2" operator="equal">
      <formula>"Alto"</formula>
    </cfRule>
    <cfRule type="cellIs" dxfId="41" priority="3" operator="equal">
      <formula>"Moderado"</formula>
    </cfRule>
    <cfRule type="cellIs" dxfId="40" priority="4"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91990A49-77E8-4E9A-8C99-A36DEA74123D}">
          <x14:formula1>
            <xm:f>'Tabla Valoración controles'!$D$13:$D$14</xm:f>
          </x14:formula1>
          <xm:sqref>W8:W10</xm:sqref>
        </x14:dataValidation>
        <x14:dataValidation type="list" allowBlank="1" showInputMessage="1" showErrorMessage="1" xr:uid="{BBD02142-DA1A-4C74-B430-FF1711887FB6}">
          <x14:formula1>
            <xm:f>'Tabla Valoración controles'!$D$11:$D$12</xm:f>
          </x14:formula1>
          <xm:sqref>V8:V10</xm:sqref>
        </x14:dataValidation>
        <x14:dataValidation type="list" allowBlank="1" showInputMessage="1" showErrorMessage="1" xr:uid="{2636FE06-30E4-4C4A-95B2-6A67903E74A8}">
          <x14:formula1>
            <xm:f>'Tabla Valoración controles'!$D$9:$D$10</xm:f>
          </x14:formula1>
          <xm:sqref>U8:U10</xm:sqref>
        </x14:dataValidation>
        <x14:dataValidation type="list" allowBlank="1" showInputMessage="1" showErrorMessage="1" xr:uid="{7F3C7D28-971D-48DC-944D-05D084C6E62F}">
          <x14:formula1>
            <xm:f>'Tabla Valoración controles'!$D$7:$D$8</xm:f>
          </x14:formula1>
          <xm:sqref>S8:S10</xm:sqref>
        </x14:dataValidation>
        <x14:dataValidation type="list" allowBlank="1" showInputMessage="1" showErrorMessage="1" xr:uid="{AA71BBC1-35B4-4746-BD36-18FBFDB4978D}">
          <x14:formula1>
            <xm:f>'Tabla Valoración controles'!$D$4:$D$6</xm:f>
          </x14:formula1>
          <xm:sqref>R8:R10</xm:sqref>
        </x14:dataValidation>
        <x14:dataValidation type="list" allowBlank="1" showInputMessage="1" showErrorMessage="1" xr:uid="{319431D6-7345-42E6-8849-BCF0233225DA}">
          <x14:formula1>
            <xm:f>'Tabla Impacto'!$I$3:$I$8</xm:f>
          </x14:formula1>
          <xm:sqref>B8:B9</xm:sqref>
        </x14:dataValidation>
        <x14:dataValidation type="list" allowBlank="1" showInputMessage="1" showErrorMessage="1" xr:uid="{42B3A47D-F90A-49BA-AA09-5947B26747D5}">
          <x14:formula1>
            <xm:f>'Tabla Impacto'!$B$3:$B$8</xm:f>
          </x14:formula1>
          <xm:sqref>L8:L9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4">
    <tabColor rgb="FF00B050"/>
  </sheetPr>
  <dimension ref="A1:BP16"/>
  <sheetViews>
    <sheetView topLeftCell="A7" zoomScale="70" zoomScaleNormal="70" workbookViewId="0">
      <selection activeCell="J12" sqref="J12"/>
    </sheetView>
  </sheetViews>
  <sheetFormatPr baseColWidth="10" defaultColWidth="11.28515625" defaultRowHeight="16.5" x14ac:dyDescent="0.3"/>
  <cols>
    <col min="1" max="1" width="4" style="2" bestFit="1" customWidth="1"/>
    <col min="2" max="2" width="17" style="2" customWidth="1"/>
    <col min="3" max="3" width="21.140625" style="2" customWidth="1"/>
    <col min="4" max="4" width="16.140625" style="2" customWidth="1"/>
    <col min="5" max="5" width="35.7109375" style="1" customWidth="1"/>
    <col min="6" max="6" width="21.28515625" style="5" customWidth="1"/>
    <col min="7" max="7" width="17.85546875" style="1" customWidth="1"/>
    <col min="8" max="8" width="16.28515625" style="1" customWidth="1"/>
    <col min="9" max="9" width="6.140625" style="1" bestFit="1" customWidth="1"/>
    <col min="10" max="10" width="27.140625" style="1" bestFit="1" customWidth="1"/>
    <col min="11" max="11" width="30.28515625" style="1" customWidth="1"/>
    <col min="12" max="12" width="17.28515625" style="1" customWidth="1"/>
    <col min="13" max="13" width="6.140625" style="1" bestFit="1" customWidth="1"/>
    <col min="14" max="14" width="16" style="1" customWidth="1"/>
    <col min="15" max="15" width="5.85546875" style="1" customWidth="1"/>
    <col min="16" max="16" width="64.85546875" style="1" customWidth="1"/>
    <col min="17" max="17" width="15.140625" style="1" bestFit="1" customWidth="1"/>
    <col min="18" max="18" width="6.85546875" style="1" customWidth="1"/>
    <col min="19" max="19" width="5" style="1" customWidth="1"/>
    <col min="20" max="20" width="5.28515625" style="1" customWidth="1"/>
    <col min="21" max="21" width="7.140625" style="1" customWidth="1"/>
    <col min="22" max="22" width="6.85546875" style="1" customWidth="1"/>
    <col min="23" max="23" width="7.28515625" style="1" customWidth="1"/>
    <col min="24" max="25" width="8.85546875" style="1" customWidth="1"/>
    <col min="26" max="26" width="10.28515625" style="1" customWidth="1"/>
    <col min="27" max="28" width="9.140625" style="1" customWidth="1"/>
    <col min="29" max="29" width="8.28515625" style="1" customWidth="1"/>
    <col min="30" max="30" width="7.140625" style="1" customWidth="1"/>
    <col min="31" max="31" width="38.28515625" style="1" customWidth="1"/>
    <col min="32" max="32" width="18.85546875" style="1" customWidth="1"/>
    <col min="33" max="33" width="16.85546875" style="1" customWidth="1"/>
    <col min="34" max="34" width="14.85546875" style="1" customWidth="1"/>
    <col min="35" max="36" width="18.28515625" style="1" customWidth="1"/>
    <col min="37" max="16384" width="11.28515625" style="1"/>
  </cols>
  <sheetData>
    <row r="1" spans="1:68" ht="16.5" customHeight="1" x14ac:dyDescent="0.3">
      <c r="A1" s="472" t="s">
        <v>60</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row>
    <row r="2" spans="1:68" ht="24" customHeight="1" x14ac:dyDescent="0.3">
      <c r="A2" s="475"/>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6"/>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row>
    <row r="3" spans="1:68" x14ac:dyDescent="0.3">
      <c r="A3" s="28"/>
      <c r="B3" s="29"/>
      <c r="C3" s="28"/>
      <c r="D3" s="28"/>
      <c r="E3" s="8"/>
      <c r="F3" s="2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ht="26.65" customHeight="1" x14ac:dyDescent="0.3">
      <c r="A4" s="478" t="s">
        <v>61</v>
      </c>
      <c r="B4" s="479"/>
      <c r="C4" s="480" t="s">
        <v>196</v>
      </c>
      <c r="D4" s="481"/>
      <c r="E4" s="481"/>
      <c r="F4" s="481"/>
      <c r="G4" s="481"/>
      <c r="H4" s="481"/>
      <c r="I4" s="481"/>
      <c r="J4" s="481"/>
      <c r="K4" s="481"/>
      <c r="L4" s="481"/>
      <c r="M4" s="481"/>
      <c r="N4" s="482"/>
      <c r="O4" s="483"/>
      <c r="P4" s="483"/>
      <c r="Q4" s="483"/>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8" ht="30.4" customHeight="1" x14ac:dyDescent="0.3">
      <c r="A5" s="478" t="s">
        <v>62</v>
      </c>
      <c r="B5" s="479"/>
      <c r="C5" s="480" t="s">
        <v>194</v>
      </c>
      <c r="D5" s="481"/>
      <c r="E5" s="481"/>
      <c r="F5" s="481"/>
      <c r="G5" s="481"/>
      <c r="H5" s="481"/>
      <c r="I5" s="481"/>
      <c r="J5" s="481"/>
      <c r="K5" s="481"/>
      <c r="L5" s="481"/>
      <c r="M5" s="481"/>
      <c r="N5" s="482"/>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8" ht="49.9" customHeight="1" x14ac:dyDescent="0.3">
      <c r="A6" s="478" t="s">
        <v>63</v>
      </c>
      <c r="B6" s="479"/>
      <c r="C6" s="484" t="s">
        <v>195</v>
      </c>
      <c r="D6" s="499"/>
      <c r="E6" s="499"/>
      <c r="F6" s="499"/>
      <c r="G6" s="499"/>
      <c r="H6" s="499"/>
      <c r="I6" s="499"/>
      <c r="J6" s="499"/>
      <c r="K6" s="499"/>
      <c r="L6" s="499"/>
      <c r="M6" s="499"/>
      <c r="N6" s="500"/>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8" x14ac:dyDescent="0.3">
      <c r="A7" s="631" t="s">
        <v>64</v>
      </c>
      <c r="B7" s="632"/>
      <c r="C7" s="632"/>
      <c r="D7" s="632"/>
      <c r="E7" s="632"/>
      <c r="F7" s="632"/>
      <c r="G7" s="633"/>
      <c r="H7" s="631" t="s">
        <v>65</v>
      </c>
      <c r="I7" s="632"/>
      <c r="J7" s="632"/>
      <c r="K7" s="632"/>
      <c r="L7" s="632"/>
      <c r="M7" s="632"/>
      <c r="N7" s="633"/>
      <c r="O7" s="631" t="s">
        <v>66</v>
      </c>
      <c r="P7" s="632"/>
      <c r="Q7" s="632"/>
      <c r="R7" s="632"/>
      <c r="S7" s="632"/>
      <c r="T7" s="632"/>
      <c r="U7" s="632"/>
      <c r="V7" s="632"/>
      <c r="W7" s="633"/>
      <c r="X7" s="631" t="s">
        <v>67</v>
      </c>
      <c r="Y7" s="632"/>
      <c r="Z7" s="632"/>
      <c r="AA7" s="632"/>
      <c r="AB7" s="632"/>
      <c r="AC7" s="632"/>
      <c r="AD7" s="633"/>
      <c r="AE7" s="631" t="s">
        <v>68</v>
      </c>
      <c r="AF7" s="632"/>
      <c r="AG7" s="632"/>
      <c r="AH7" s="632"/>
      <c r="AI7" s="632"/>
      <c r="AJ7" s="632"/>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ht="16.5" customHeight="1" x14ac:dyDescent="0.3">
      <c r="A8" s="490" t="s">
        <v>69</v>
      </c>
      <c r="B8" s="492" t="s">
        <v>15</v>
      </c>
      <c r="C8" s="493" t="s">
        <v>17</v>
      </c>
      <c r="D8" s="493" t="s">
        <v>19</v>
      </c>
      <c r="E8" s="495" t="s">
        <v>21</v>
      </c>
      <c r="F8" s="498" t="s">
        <v>23</v>
      </c>
      <c r="G8" s="493" t="s">
        <v>70</v>
      </c>
      <c r="H8" s="501" t="s">
        <v>71</v>
      </c>
      <c r="I8" s="502" t="s">
        <v>72</v>
      </c>
      <c r="J8" s="498" t="s">
        <v>73</v>
      </c>
      <c r="K8" s="498" t="s">
        <v>74</v>
      </c>
      <c r="L8" s="508" t="s">
        <v>75</v>
      </c>
      <c r="M8" s="502" t="s">
        <v>72</v>
      </c>
      <c r="N8" s="493" t="s">
        <v>29</v>
      </c>
      <c r="O8" s="488" t="s">
        <v>76</v>
      </c>
      <c r="P8" s="494" t="s">
        <v>31</v>
      </c>
      <c r="Q8" s="498" t="s">
        <v>33</v>
      </c>
      <c r="R8" s="494" t="s">
        <v>77</v>
      </c>
      <c r="S8" s="494"/>
      <c r="T8" s="494"/>
      <c r="U8" s="494"/>
      <c r="V8" s="494"/>
      <c r="W8" s="494"/>
      <c r="X8" s="497" t="s">
        <v>78</v>
      </c>
      <c r="Y8" s="497" t="s">
        <v>79</v>
      </c>
      <c r="Z8" s="497" t="s">
        <v>72</v>
      </c>
      <c r="AA8" s="497" t="s">
        <v>80</v>
      </c>
      <c r="AB8" s="497" t="s">
        <v>72</v>
      </c>
      <c r="AC8" s="497" t="s">
        <v>81</v>
      </c>
      <c r="AD8" s="488" t="s">
        <v>49</v>
      </c>
      <c r="AE8" s="496" t="s">
        <v>68</v>
      </c>
      <c r="AF8" s="494" t="s">
        <v>82</v>
      </c>
      <c r="AG8" s="496" t="s">
        <v>264</v>
      </c>
      <c r="AH8" s="496" t="s">
        <v>265</v>
      </c>
      <c r="AI8" s="496" t="s">
        <v>262</v>
      </c>
      <c r="AJ8" s="723" t="s">
        <v>263</v>
      </c>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8" s="4" customFormat="1" ht="94.9" customHeight="1" x14ac:dyDescent="0.25">
      <c r="A9" s="491"/>
      <c r="B9" s="492"/>
      <c r="C9" s="494"/>
      <c r="D9" s="494"/>
      <c r="E9" s="492"/>
      <c r="F9" s="493"/>
      <c r="G9" s="494"/>
      <c r="H9" s="493"/>
      <c r="I9" s="503"/>
      <c r="J9" s="493"/>
      <c r="K9" s="493"/>
      <c r="L9" s="503"/>
      <c r="M9" s="503"/>
      <c r="N9" s="494"/>
      <c r="O9" s="489"/>
      <c r="P9" s="494"/>
      <c r="Q9" s="493"/>
      <c r="R9" s="111" t="s">
        <v>83</v>
      </c>
      <c r="S9" s="111" t="s">
        <v>84</v>
      </c>
      <c r="T9" s="111" t="s">
        <v>85</v>
      </c>
      <c r="U9" s="111" t="s">
        <v>86</v>
      </c>
      <c r="V9" s="111" t="s">
        <v>87</v>
      </c>
      <c r="W9" s="111" t="s">
        <v>88</v>
      </c>
      <c r="X9" s="497"/>
      <c r="Y9" s="497"/>
      <c r="Z9" s="497"/>
      <c r="AA9" s="497"/>
      <c r="AB9" s="497"/>
      <c r="AC9" s="497"/>
      <c r="AD9" s="489"/>
      <c r="AE9" s="723"/>
      <c r="AF9" s="498"/>
      <c r="AG9" s="723"/>
      <c r="AH9" s="723"/>
      <c r="AI9" s="723"/>
      <c r="AJ9" s="724"/>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row>
    <row r="10" spans="1:68" s="325" customFormat="1" ht="105" x14ac:dyDescent="0.25">
      <c r="A10" s="597">
        <v>1</v>
      </c>
      <c r="B10" s="599" t="s">
        <v>320</v>
      </c>
      <c r="C10" s="599" t="s">
        <v>332</v>
      </c>
      <c r="D10" s="599" t="s">
        <v>197</v>
      </c>
      <c r="E10" s="599" t="s">
        <v>431</v>
      </c>
      <c r="F10" s="599" t="s">
        <v>101</v>
      </c>
      <c r="G10" s="604">
        <v>550</v>
      </c>
      <c r="H10" s="606" t="str">
        <f>IF(G10&lt;=0,"",IF(G10&lt;=2,"Muy Baja",IF(G10&lt;=24,"Baja",IF(G10&lt;=500,"Media",IF(G10&lt;=5000,"Alta","Muy Alta")))))</f>
        <v>Alta</v>
      </c>
      <c r="I10" s="593">
        <f>IF(H10="","",IF(H10="Muy Baja",0.2,IF(H10="Baja",0.4,IF(H10="Media",0.6,IF(H10="Alta",0.8,IF(H10="Muy Alta",1,))))))</f>
        <v>0.8</v>
      </c>
      <c r="J10" s="595" t="str">
        <f>IF(OR($B$10="Reputacional",$B$10="Económica"),VLOOKUP($L$10,'Tabla Impacto'!$B$4:$G$8,4,0),IF(AND($B$10="Reputacional y Económica"),VLOOKUP($L$10,'Tabla Impacto'!$B$4:$G$8,5,0),((VLOOKUP($L$10,'Tabla Impacto'!$B$4:$G$8,2,0)))))</f>
        <v>El Impacto se evalúo como Menor. El riesgo afecta la imagen de la entidad internamente, de conocimiento general, nivel interno, de junta dircetiva y accionistas y/o de provedores con una posible afectación entre 10 y 50 SMLMV.</v>
      </c>
      <c r="K10" s="595" t="str">
        <f>IF(OR($B$10="Reputacional",$B$10="Económica"),VLOOKUP($L$10,'Tabla Impacto'!$B$4:$G$8,4,0),IF(AND($B$10="Reputacional y Económica"),VLOOKUP($L$10,'Tabla Impacto'!$B$4:$G$8,5,0),((VLOOKUP($L$10,'Tabla Impacto'!$B$4:$G$8,2,0)))))</f>
        <v>El Impacto se evalúo como Menor. El riesgo afecta la imagen de la entidad internamente, de conocimiento general, nivel interno, de junta dircetiva y accionistas y/o de provedores con una posible afectación entre 10 y 50 SMLMV.</v>
      </c>
      <c r="L10" s="602" t="s">
        <v>140</v>
      </c>
      <c r="M10" s="593">
        <f>VLOOKUP(L10,'Tabla Impacto'!$B$4:$G$8,6,0)</f>
        <v>0.4</v>
      </c>
      <c r="N10" s="591"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315">
        <v>1</v>
      </c>
      <c r="P10" s="316" t="s">
        <v>337</v>
      </c>
      <c r="Q10" s="229" t="str">
        <f t="shared" ref="Q10:Q11" si="0">IF(OR(R10="Preventivo",R10="Detectivo"),"Probabilidad",IF(R10="Correctivo","Impacto",""))</f>
        <v>Probabilidad</v>
      </c>
      <c r="R10" s="317" t="s">
        <v>91</v>
      </c>
      <c r="S10" s="317" t="s">
        <v>92</v>
      </c>
      <c r="T10" s="318" t="str">
        <f t="shared" ref="T10:T11" si="1">IF(AND(R10="Preventivo",S10="Automático"),"50%",IF(AND(R10="Preventivo",S10="Manual"),"40%",IF(AND(R10="Detectivo",S10="Automático"),"40%",IF(AND(R10="Detectivo",S10="Manual"),"30%",IF(AND(R10="Correctivo",S10="Automático"),"35%",IF(AND(R10="Correctivo",S10="Manual"),"25%",""))))))</f>
        <v>40%</v>
      </c>
      <c r="U10" s="317" t="s">
        <v>93</v>
      </c>
      <c r="V10" s="317" t="s">
        <v>94</v>
      </c>
      <c r="W10" s="317" t="s">
        <v>95</v>
      </c>
      <c r="X10" s="319">
        <f>IFERROR(IF(Q10="Probabilidad",(I10-(+I10*T10)),IF(Q10="Impacto",I10,"")),"")</f>
        <v>0.48</v>
      </c>
      <c r="Y10" s="320" t="str">
        <f>IFERROR(IF(X10="","",IF(X10&lt;=0.2,"Muy Baja",IF(X10&lt;=0.4,"Baja",IF(X10&lt;=0.6,"Media",IF(X10&lt;=0.8,"Alta","Muy Alta"))))),"")</f>
        <v>Media</v>
      </c>
      <c r="Z10" s="146">
        <f t="shared" ref="Z10:Z11" si="2">+X10</f>
        <v>0.48</v>
      </c>
      <c r="AA10" s="320" t="str">
        <f>IFERROR(IF(AB10="","",IF(AB10&lt;=0.2,"Leve",IF(AB10&lt;=0.4,"Menor",IF(AB10&lt;=0.6,"Moderado",IF(AB10&lt;=0.8,"Mayor","Catastrófico"))))),"")</f>
        <v>Menor</v>
      </c>
      <c r="AB10" s="146">
        <f>IFERROR(IF(Q10="Impacto",(M10-(+M10*T10)),IF(Q10="Probabilidad",M10,"")),"")</f>
        <v>0.4</v>
      </c>
      <c r="AC10" s="321" t="str">
        <f t="shared" ref="AC10:AC1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322" t="s">
        <v>96</v>
      </c>
      <c r="AE10" s="323" t="s">
        <v>336</v>
      </c>
      <c r="AF10" s="232" t="s">
        <v>279</v>
      </c>
      <c r="AG10" s="232" t="s">
        <v>399</v>
      </c>
      <c r="AH10" s="226" t="str">
        <f>AG10</f>
        <v>Enero a diciembre de 2026</v>
      </c>
      <c r="AI10" s="414" t="s">
        <v>462</v>
      </c>
      <c r="AJ10" s="226" t="s">
        <v>268</v>
      </c>
      <c r="AK10" s="324"/>
      <c r="AL10" s="324"/>
      <c r="AM10" s="324"/>
      <c r="AN10" s="324"/>
      <c r="AO10" s="324"/>
      <c r="AP10" s="324"/>
      <c r="AQ10" s="324"/>
      <c r="AR10" s="324"/>
      <c r="AS10" s="324"/>
      <c r="AT10" s="324"/>
      <c r="AU10" s="324"/>
      <c r="AV10" s="324"/>
      <c r="AW10" s="324"/>
      <c r="AX10" s="324"/>
      <c r="AY10" s="324"/>
      <c r="AZ10" s="324"/>
      <c r="BA10" s="324"/>
      <c r="BB10" s="324"/>
      <c r="BC10" s="324"/>
      <c r="BD10" s="324"/>
      <c r="BE10" s="324"/>
      <c r="BF10" s="324"/>
      <c r="BG10" s="324"/>
      <c r="BH10" s="324"/>
      <c r="BI10" s="324"/>
      <c r="BJ10" s="324"/>
      <c r="BK10" s="324"/>
      <c r="BL10" s="324"/>
      <c r="BM10" s="324"/>
      <c r="BN10" s="324"/>
      <c r="BO10" s="324"/>
      <c r="BP10" s="324"/>
    </row>
    <row r="11" spans="1:68" s="330" customFormat="1" ht="105" x14ac:dyDescent="0.3">
      <c r="A11" s="598"/>
      <c r="B11" s="600"/>
      <c r="C11" s="601"/>
      <c r="D11" s="601"/>
      <c r="E11" s="601"/>
      <c r="F11" s="601"/>
      <c r="G11" s="605"/>
      <c r="H11" s="607"/>
      <c r="I11" s="594"/>
      <c r="J11" s="596"/>
      <c r="K11" s="596"/>
      <c r="L11" s="603"/>
      <c r="M11" s="697"/>
      <c r="N11" s="592"/>
      <c r="O11" s="315">
        <v>2</v>
      </c>
      <c r="P11" s="327" t="s">
        <v>333</v>
      </c>
      <c r="Q11" s="229" t="str">
        <f t="shared" si="0"/>
        <v>Probabilidad</v>
      </c>
      <c r="R11" s="328" t="s">
        <v>91</v>
      </c>
      <c r="S11" s="328" t="s">
        <v>92</v>
      </c>
      <c r="T11" s="318" t="str">
        <f t="shared" si="1"/>
        <v>40%</v>
      </c>
      <c r="U11" s="328" t="s">
        <v>93</v>
      </c>
      <c r="V11" s="328" t="s">
        <v>94</v>
      </c>
      <c r="W11" s="328" t="s">
        <v>95</v>
      </c>
      <c r="X11" s="319">
        <f>IFERROR(IF(AND(Q10="Probabilidad",Q11="Probabilidad"),(Z10-(+Z10*T11)),IF(Q11="Probabilidad",(I10-(+I10*T11)),IF(Q11="Impacto",Z10,""))),"")</f>
        <v>0.28799999999999998</v>
      </c>
      <c r="Y11" s="320" t="str">
        <f t="shared" ref="Y11" si="4">IFERROR(IF(X11="","",IF(X11&lt;=0.2,"Muy Baja",IF(X11&lt;=0.4,"Baja",IF(X11&lt;=0.6,"Media",IF(X11&lt;=0.8,"Alta","Muy Alta"))))),"")</f>
        <v>Baja</v>
      </c>
      <c r="Z11" s="146">
        <f t="shared" si="2"/>
        <v>0.28799999999999998</v>
      </c>
      <c r="AA11" s="320" t="str">
        <f t="shared" ref="AA11" si="5">IFERROR(IF(AB11="","",IF(AB11&lt;=0.2,"Leve",IF(AB11&lt;=0.4,"Menor",IF(AB11&lt;=0.6,"Moderado",IF(AB11&lt;=0.8,"Mayor","Catastrófico"))))),"")</f>
        <v>Menor</v>
      </c>
      <c r="AB11" s="146">
        <f>IFERROR(IF(AND(Q10="Impacto",Q11="Impacto"),(AB10-(+AB10*T11)),IF(Q11="Impacto",($M$10-(+$M$10*T11)),IF(Q11="Probabilidad",AB10,""))),"")</f>
        <v>0.4</v>
      </c>
      <c r="AC11" s="321" t="str">
        <f t="shared" si="3"/>
        <v>Moderado</v>
      </c>
      <c r="AD11" s="322" t="s">
        <v>96</v>
      </c>
      <c r="AE11" s="327" t="s">
        <v>334</v>
      </c>
      <c r="AF11" s="232" t="s">
        <v>279</v>
      </c>
      <c r="AG11" s="354" t="s">
        <v>399</v>
      </c>
      <c r="AH11" s="226" t="str">
        <f t="shared" ref="AH11:AH12" si="6">AG11</f>
        <v>Enero a diciembre de 2026</v>
      </c>
      <c r="AI11" s="327" t="s">
        <v>335</v>
      </c>
      <c r="AJ11" s="226" t="s">
        <v>268</v>
      </c>
      <c r="AK11" s="329"/>
      <c r="AL11" s="329"/>
      <c r="AM11" s="329"/>
      <c r="AN11" s="329"/>
      <c r="AO11" s="329"/>
      <c r="AP11" s="329"/>
      <c r="AQ11" s="329"/>
      <c r="AR11" s="329"/>
      <c r="AS11" s="329"/>
      <c r="AT11" s="329"/>
      <c r="AU11" s="329"/>
      <c r="AV11" s="329"/>
      <c r="AW11" s="329"/>
      <c r="AX11" s="329"/>
      <c r="AY11" s="329"/>
      <c r="AZ11" s="329"/>
      <c r="BA11" s="329"/>
      <c r="BB11" s="329"/>
      <c r="BC11" s="329"/>
      <c r="BD11" s="329"/>
      <c r="BE11" s="329"/>
      <c r="BF11" s="329"/>
      <c r="BG11" s="329"/>
      <c r="BH11" s="329"/>
      <c r="BI11" s="329"/>
      <c r="BJ11" s="329"/>
      <c r="BK11" s="329"/>
      <c r="BL11" s="329"/>
      <c r="BM11" s="329"/>
      <c r="BN11" s="329"/>
      <c r="BO11" s="329"/>
      <c r="BP11" s="329"/>
    </row>
    <row r="12" spans="1:68" s="330" customFormat="1" ht="165" x14ac:dyDescent="0.3">
      <c r="A12" s="326">
        <v>2</v>
      </c>
      <c r="B12" s="331" t="s">
        <v>320</v>
      </c>
      <c r="C12" s="168" t="s">
        <v>349</v>
      </c>
      <c r="D12" s="168" t="s">
        <v>348</v>
      </c>
      <c r="E12" s="168" t="str">
        <f>CONCATENATE("Posibilidad de pérdida ",B12," ", "debido a ",C12," ","a causa de"," ",D12)</f>
        <v>Posibilidad de pérdida Reputacional y Económica debido a la falta de planificación en los procesos de contratación de los servicios conexos (seguridad y vigilancia, tiquetes, reparaciones locativas, entre otros) de la entidad a causa de fallas en la definición oportuna de necesidades de contratación y presupuesto</v>
      </c>
      <c r="F12" s="168" t="s">
        <v>90</v>
      </c>
      <c r="G12" s="314">
        <v>28</v>
      </c>
      <c r="H12" s="332" t="str">
        <f>IF(G12&lt;=0,"",IF(G12&lt;=2,"Muy Baja",IF(G12&lt;=24,"Baja",IF(G12&lt;=500,"Media",IF(G12&lt;=5000,"Alta","Muy Alta")))))</f>
        <v>Media</v>
      </c>
      <c r="I12" s="333">
        <f>IF(H12="","",IF(H12="Muy Baja",0.2,IF(H12="Baja",0.4,IF(H12="Media",0.6,IF(H12="Alta",0.8,IF(H12="Muy Alta",1,))))))</f>
        <v>0.6</v>
      </c>
      <c r="J12" s="334" t="str">
        <f>IF(OR($B$12="Reputacional",$B$12="Económica"),VLOOKUP($L$12,'Tabla Impacto'!$B$4:$G$8,4,0),IF(AND($B$12="Reputacional y Económica"),VLOOKUP($L$12,'Tabla Impacto'!$B$4:$G$8,5,0),((VLOOKUP($L$12,'Tabla Impacto'!$B$4:$G$8,2,0)))))</f>
        <v>El Impacto se evalúo como Mayor. El riesgo afecta la imagen de de la entidad con efecto publicitario sostenido a nivel de sector administrativo, nivel departamental o municipal con una posible afectación entre 100 y 500 SMLMV.</v>
      </c>
      <c r="K12" s="334" t="str">
        <f>IF(OR($B$12="Reputacional",$B$12="Económica"),VLOOKUP($L$12,'Tabla Impacto'!$B$4:$G$8,4,0),IF(AND($B$12="Reputacional y Económica"),VLOOKUP($L$12,'Tabla Impacto'!$B$4:$G$8,5,0),((VLOOKUP($L$12,'Tabla Impacto'!$B$4:$G$8,2,0)))))</f>
        <v>El Impacto se evalúo como Mayor. El riesgo afecta la imagen de de la entidad con efecto publicitario sostenido a nivel de sector administrativo, nivel departamental o municipal con una posible afectación entre 100 y 500 SMLMV.</v>
      </c>
      <c r="L12" s="313" t="s">
        <v>145</v>
      </c>
      <c r="M12" s="333">
        <f>VLOOKUP(L12,'Tabla Impacto'!$B$4:$G$8,6,0)</f>
        <v>0.8</v>
      </c>
      <c r="N12" s="335" t="str">
        <f>IF(OR(AND(H12="Muy Baja",L12="Leve"),AND(H12="Muy Baja",L12="Menor"),AND(H12="Baja",L12="Leve")),"Bajo",IF(OR(AND(H12="Muy baja",L12="Moderado"),AND(H12="Baja",L12="Menor"),AND(H12="Baja",L12="Moderado"),AND(H12="Media",L12="Leve"),AND(H12="Media",L12="Menor"),AND(H12="Media",L12="Moderado"),AND(H12="Alta",L12="Leve"),AND(H12="Alta",L12="Menor")),"Moderado",IF(OR(AND(H12="Muy Baja",L12="Mayor"),AND(H12="Baja",L12="Mayor"),AND(H12="Media",L12="Mayor"),AND(H12="Alta",L12="Moderado"),AND(H12="Alta",L12="Mayor"),AND(H12="Muy Alta",L12="Leve"),AND(H12="Muy Alta",L12="Menor"),AND(H12="Muy Alta",L12="Moderado"),AND(H12="Muy Alta",L12="Mayor")),"Alto",IF(OR(AND(H12="Muy Baja",L12="Catastrófico"),AND(H12="Baja",L12="Catastrófico"),AND(H12="Media",L12="Catastrófico"),AND(H12="Alta",L12="Catastrófico"),AND(H12="Muy Alta",L12="Catastrófico")),"Extremo",""))))</f>
        <v>Alto</v>
      </c>
      <c r="O12" s="336">
        <v>3</v>
      </c>
      <c r="P12" s="337" t="s">
        <v>352</v>
      </c>
      <c r="Q12" s="229" t="s">
        <v>15</v>
      </c>
      <c r="R12" s="317" t="s">
        <v>91</v>
      </c>
      <c r="S12" s="317" t="s">
        <v>92</v>
      </c>
      <c r="T12" s="318" t="str">
        <f t="shared" ref="T12" si="7">IF(AND(R12="Preventivo",S12="Automático"),"50%",IF(AND(R12="Preventivo",S12="Manual"),"40%",IF(AND(R12="Detectivo",S12="Automático"),"40%",IF(AND(R12="Detectivo",S12="Manual"),"30%",IF(AND(R12="Correctivo",S12="Automático"),"35%",IF(AND(R12="Correctivo",S12="Manual"),"25%",""))))))</f>
        <v>40%</v>
      </c>
      <c r="U12" s="317" t="s">
        <v>93</v>
      </c>
      <c r="V12" s="317" t="s">
        <v>94</v>
      </c>
      <c r="W12" s="317" t="s">
        <v>95</v>
      </c>
      <c r="X12" s="338">
        <f>IFERROR(IF(AND(Q11="Probabilidad",Q12="Probabilidad"),(Z11-(+Z11*T12)),IF(Q12="Probabilidad",(I11-(+I11*T12)),IF(Q12="Impacto",Z11,""))),"")</f>
        <v>0.28799999999999998</v>
      </c>
      <c r="Y12" s="320" t="str">
        <f t="shared" ref="Y12" si="8">IFERROR(IF(X12="","",IF(X12&lt;=0.2,"Muy Baja",IF(X12&lt;=0.4,"Baja",IF(X12&lt;=0.6,"Media",IF(X12&lt;=0.8,"Alta","Muy Alta"))))),"")</f>
        <v>Baja</v>
      </c>
      <c r="Z12" s="146">
        <f t="shared" ref="Z12" si="9">+X12</f>
        <v>0.28799999999999998</v>
      </c>
      <c r="AA12" s="320" t="str">
        <f t="shared" ref="AA12" si="10">IFERROR(IF(AB12="","",IF(AB12&lt;=0.2,"Leve",IF(AB12&lt;=0.4,"Menor",IF(AB12&lt;=0.6,"Moderado",IF(AB12&lt;=0.8,"Mayor","Catastrófico"))))),"")</f>
        <v>Menor</v>
      </c>
      <c r="AB12" s="146">
        <f>IFERROR(IF(AND(Q11="Impacto",Q12="Impacto"),(AB11-(+AB11*T12)),IF(Q12="Impacto",($M$10-(+$M$10*T12)),IF(Q12="Probabilidad",AB11,""))),"")</f>
        <v>0.24</v>
      </c>
      <c r="AC12" s="321" t="str">
        <f t="shared" ref="AC12" si="11">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Moderado</v>
      </c>
      <c r="AD12" s="322" t="s">
        <v>96</v>
      </c>
      <c r="AE12" s="327" t="s">
        <v>350</v>
      </c>
      <c r="AF12" s="232" t="s">
        <v>279</v>
      </c>
      <c r="AG12" s="354" t="s">
        <v>399</v>
      </c>
      <c r="AH12" s="226" t="str">
        <f t="shared" si="6"/>
        <v>Enero a diciembre de 2026</v>
      </c>
      <c r="AI12" s="327" t="s">
        <v>351</v>
      </c>
      <c r="AJ12" s="226" t="s">
        <v>268</v>
      </c>
    </row>
    <row r="13" spans="1:68" ht="14.25" customHeight="1" x14ac:dyDescent="0.3">
      <c r="A13" s="119"/>
      <c r="B13" s="147"/>
      <c r="C13" s="169"/>
      <c r="D13" s="169"/>
      <c r="E13" s="168"/>
      <c r="F13" s="169"/>
      <c r="G13" s="212"/>
      <c r="H13" s="213"/>
      <c r="I13" s="214"/>
      <c r="J13" s="215"/>
      <c r="K13" s="215"/>
      <c r="L13" s="210"/>
      <c r="M13" s="211"/>
      <c r="N13" s="216"/>
      <c r="O13" s="150"/>
      <c r="P13" s="208"/>
      <c r="Q13" s="151"/>
      <c r="R13" s="209"/>
      <c r="S13" s="209"/>
      <c r="T13" s="152"/>
      <c r="U13" s="209"/>
      <c r="V13" s="209"/>
      <c r="W13" s="209"/>
      <c r="X13" s="153"/>
      <c r="Y13" s="154"/>
      <c r="Z13" s="155"/>
      <c r="AA13" s="154"/>
      <c r="AB13" s="155"/>
      <c r="AC13" s="156"/>
      <c r="AD13" s="157"/>
      <c r="AE13" s="208"/>
      <c r="AF13" s="217"/>
      <c r="AG13" s="217"/>
      <c r="AH13" s="218"/>
      <c r="AI13" s="208"/>
      <c r="AJ13" s="21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row>
    <row r="14" spans="1:68" ht="49.9" customHeight="1" x14ac:dyDescent="0.3">
      <c r="A14" s="6"/>
      <c r="B14" s="504" t="s">
        <v>105</v>
      </c>
      <c r="C14" s="505"/>
      <c r="D14" s="505"/>
      <c r="E14" s="505"/>
      <c r="F14" s="505"/>
      <c r="G14" s="505"/>
      <c r="H14" s="505"/>
      <c r="I14" s="505"/>
      <c r="J14" s="505"/>
      <c r="K14" s="505"/>
      <c r="L14" s="505"/>
      <c r="M14" s="505"/>
      <c r="N14" s="505"/>
      <c r="O14" s="505"/>
      <c r="P14" s="505"/>
      <c r="Q14" s="505"/>
      <c r="R14" s="505"/>
      <c r="S14" s="505"/>
      <c r="T14" s="505"/>
      <c r="U14" s="505"/>
      <c r="V14" s="505"/>
      <c r="W14" s="505"/>
      <c r="X14" s="505"/>
      <c r="Y14" s="505"/>
      <c r="Z14" s="505"/>
      <c r="AA14" s="505"/>
      <c r="AB14" s="505"/>
      <c r="AC14" s="505"/>
      <c r="AD14" s="505"/>
      <c r="AE14" s="505"/>
      <c r="AF14" s="505"/>
      <c r="AG14" s="505"/>
      <c r="AH14" s="505"/>
      <c r="AI14" s="505"/>
      <c r="AJ14" s="505"/>
    </row>
    <row r="16" spans="1:68" x14ac:dyDescent="0.3">
      <c r="A16" s="1"/>
      <c r="B16" s="24" t="s">
        <v>106</v>
      </c>
      <c r="C16" s="1"/>
      <c r="D16" s="1"/>
      <c r="F16" s="1"/>
    </row>
  </sheetData>
  <dataConsolidate/>
  <mergeCells count="59">
    <mergeCell ref="A1:AJ2"/>
    <mergeCell ref="A7:G7"/>
    <mergeCell ref="H7:N7"/>
    <mergeCell ref="O7:W7"/>
    <mergeCell ref="X7:AD7"/>
    <mergeCell ref="AE7:AJ7"/>
    <mergeCell ref="C4:N4"/>
    <mergeCell ref="O4:Q4"/>
    <mergeCell ref="B14:AJ14"/>
    <mergeCell ref="A4:B4"/>
    <mergeCell ref="A5:B5"/>
    <mergeCell ref="A6:B6"/>
    <mergeCell ref="A8:A9"/>
    <mergeCell ref="F8:F9"/>
    <mergeCell ref="E8:E9"/>
    <mergeCell ref="D8:D9"/>
    <mergeCell ref="C8:C9"/>
    <mergeCell ref="AD8:AD9"/>
    <mergeCell ref="C5:N5"/>
    <mergeCell ref="C6:N6"/>
    <mergeCell ref="O8:O9"/>
    <mergeCell ref="AC8:AC9"/>
    <mergeCell ref="AB8:AB9"/>
    <mergeCell ref="X8:X9"/>
    <mergeCell ref="N8:N9"/>
    <mergeCell ref="J8:J9"/>
    <mergeCell ref="K8:K9"/>
    <mergeCell ref="Q8:Q9"/>
    <mergeCell ref="G8:G9"/>
    <mergeCell ref="H8:H9"/>
    <mergeCell ref="I8:I9"/>
    <mergeCell ref="L8:L9"/>
    <mergeCell ref="M8:M9"/>
    <mergeCell ref="AG8:AG9"/>
    <mergeCell ref="AF8:AF9"/>
    <mergeCell ref="Y8:Y9"/>
    <mergeCell ref="Z8:Z9"/>
    <mergeCell ref="P8:P9"/>
    <mergeCell ref="A10:A11"/>
    <mergeCell ref="B10:B11"/>
    <mergeCell ref="C10:C11"/>
    <mergeCell ref="D10:D11"/>
    <mergeCell ref="E10:E11"/>
    <mergeCell ref="B8:B9"/>
    <mergeCell ref="AJ8:AJ9"/>
    <mergeCell ref="F10:F11"/>
    <mergeCell ref="G10:G11"/>
    <mergeCell ref="H10:H11"/>
    <mergeCell ref="N10:N11"/>
    <mergeCell ref="I10:I11"/>
    <mergeCell ref="J10:J11"/>
    <mergeCell ref="K10:K11"/>
    <mergeCell ref="L10:L11"/>
    <mergeCell ref="M10:M11"/>
    <mergeCell ref="AA8:AA9"/>
    <mergeCell ref="R8:W8"/>
    <mergeCell ref="AE8:AE9"/>
    <mergeCell ref="AI8:AI9"/>
    <mergeCell ref="AH8:AH9"/>
  </mergeCells>
  <phoneticPr fontId="54" type="noConversion"/>
  <conditionalFormatting sqref="H10">
    <cfRule type="cellIs" dxfId="39" priority="368" operator="equal">
      <formula>"Muy Alta"</formula>
    </cfRule>
    <cfRule type="cellIs" dxfId="38" priority="369" operator="equal">
      <formula>"Alta"</formula>
    </cfRule>
    <cfRule type="cellIs" dxfId="37" priority="370" operator="equal">
      <formula>"Media"</formula>
    </cfRule>
    <cfRule type="cellIs" dxfId="36" priority="371" operator="equal">
      <formula>"Baja"</formula>
    </cfRule>
    <cfRule type="cellIs" dxfId="35" priority="372" operator="equal">
      <formula>"Muy Baja"</formula>
    </cfRule>
  </conditionalFormatting>
  <conditionalFormatting sqref="H12">
    <cfRule type="cellIs" dxfId="34" priority="21" operator="equal">
      <formula>"Muy Alta"</formula>
    </cfRule>
    <cfRule type="cellIs" dxfId="33" priority="22" operator="equal">
      <formula>"Alta"</formula>
    </cfRule>
    <cfRule type="cellIs" dxfId="32" priority="23" operator="equal">
      <formula>"Media"</formula>
    </cfRule>
    <cfRule type="cellIs" dxfId="31" priority="24" operator="equal">
      <formula>"Baja"</formula>
    </cfRule>
    <cfRule type="cellIs" dxfId="30" priority="25" operator="equal">
      <formula>"Muy Baja"</formula>
    </cfRule>
  </conditionalFormatting>
  <conditionalFormatting sqref="L10">
    <cfRule type="cellIs" dxfId="29" priority="41" operator="equal">
      <formula>"Catastrófico"</formula>
    </cfRule>
    <cfRule type="cellIs" dxfId="28" priority="42" operator="equal">
      <formula>"Mayor"</formula>
    </cfRule>
    <cfRule type="cellIs" dxfId="27" priority="43" operator="equal">
      <formula>"Moderado"</formula>
    </cfRule>
    <cfRule type="cellIs" dxfId="26" priority="44" operator="equal">
      <formula>"Menor"</formula>
    </cfRule>
    <cfRule type="cellIs" dxfId="25" priority="45" operator="equal">
      <formula>"Leve"</formula>
    </cfRule>
  </conditionalFormatting>
  <conditionalFormatting sqref="L12">
    <cfRule type="cellIs" dxfId="24" priority="16" operator="equal">
      <formula>"Catastrófico"</formula>
    </cfRule>
    <cfRule type="cellIs" dxfId="23" priority="17" operator="equal">
      <formula>"Mayor"</formula>
    </cfRule>
    <cfRule type="cellIs" dxfId="22" priority="18" operator="equal">
      <formula>"Moderado"</formula>
    </cfRule>
    <cfRule type="cellIs" dxfId="21" priority="19" operator="equal">
      <formula>"Menor"</formula>
    </cfRule>
    <cfRule type="cellIs" dxfId="20" priority="20" operator="equal">
      <formula>"Leve"</formula>
    </cfRule>
  </conditionalFormatting>
  <conditionalFormatting sqref="M10">
    <cfRule type="containsText" dxfId="19" priority="40" operator="containsText" text="❌">
      <formula>NOT(ISERROR(SEARCH("❌",M10)))</formula>
    </cfRule>
  </conditionalFormatting>
  <conditionalFormatting sqref="M12">
    <cfRule type="containsText" dxfId="18" priority="15" operator="containsText" text="❌">
      <formula>NOT(ISERROR(SEARCH("❌",M12)))</formula>
    </cfRule>
  </conditionalFormatting>
  <conditionalFormatting sqref="N10 N12">
    <cfRule type="cellIs" dxfId="17" priority="46" operator="equal">
      <formula>"Extremo"</formula>
    </cfRule>
    <cfRule type="cellIs" dxfId="16" priority="47" operator="equal">
      <formula>"Alto"</formula>
    </cfRule>
    <cfRule type="cellIs" dxfId="15" priority="48" operator="equal">
      <formula>"Moderado"</formula>
    </cfRule>
    <cfRule type="cellIs" dxfId="14" priority="49" operator="equal">
      <formula>"Bajo"</formula>
    </cfRule>
  </conditionalFormatting>
  <conditionalFormatting sqref="Y10:Y13">
    <cfRule type="cellIs" dxfId="13" priority="10" operator="equal">
      <formula>"Muy Alta"</formula>
    </cfRule>
    <cfRule type="cellIs" dxfId="12" priority="11" operator="equal">
      <formula>"Alta"</formula>
    </cfRule>
    <cfRule type="cellIs" dxfId="11" priority="12" operator="equal">
      <formula>"Media"</formula>
    </cfRule>
    <cfRule type="cellIs" dxfId="10" priority="13" operator="equal">
      <formula>"Baja"</formula>
    </cfRule>
    <cfRule type="cellIs" dxfId="9" priority="14" operator="equal">
      <formula>"Muy Baja"</formula>
    </cfRule>
  </conditionalFormatting>
  <conditionalFormatting sqref="AA10:AA13">
    <cfRule type="cellIs" dxfId="8" priority="5" operator="equal">
      <formula>"Catastrófico"</formula>
    </cfRule>
    <cfRule type="cellIs" dxfId="7" priority="6" operator="equal">
      <formula>"Mayor"</formula>
    </cfRule>
    <cfRule type="cellIs" dxfId="6" priority="7" operator="equal">
      <formula>"Moderado"</formula>
    </cfRule>
    <cfRule type="cellIs" dxfId="5" priority="8" operator="equal">
      <formula>"Menor"</formula>
    </cfRule>
    <cfRule type="cellIs" dxfId="4" priority="9" operator="equal">
      <formula>"Leve"</formula>
    </cfRule>
  </conditionalFormatting>
  <conditionalFormatting sqref="AC10:AC13">
    <cfRule type="cellIs" dxfId="3" priority="1" operator="equal">
      <formula>"Extremo"</formula>
    </cfRule>
    <cfRule type="cellIs" dxfId="2" priority="2" operator="equal">
      <formula>"Alto"</formula>
    </cfRule>
    <cfRule type="cellIs" dxfId="1" priority="3" operator="equal">
      <formula>"Moderado"</formula>
    </cfRule>
    <cfRule type="cellIs" dxfId="0" priority="4" operator="equal">
      <formula>"Bajo"</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DCAC0E49-3A50-4404-B80B-FEDD6980E760}">
          <x14:formula1>
            <xm:f>'Tabla Valoración controles'!$D$4:$D$6</xm:f>
          </x14:formula1>
          <xm:sqref>R10:R13</xm:sqref>
        </x14:dataValidation>
        <x14:dataValidation type="list" allowBlank="1" showInputMessage="1" showErrorMessage="1" xr:uid="{D560968C-4E7B-4208-A09E-946655D0903F}">
          <x14:formula1>
            <xm:f>'Tabla Valoración controles'!$D$7:$D$8</xm:f>
          </x14:formula1>
          <xm:sqref>S10:S13</xm:sqref>
        </x14:dataValidation>
        <x14:dataValidation type="list" allowBlank="1" showInputMessage="1" showErrorMessage="1" xr:uid="{2FBF552C-8E57-486D-ADC8-4AB66C523CFC}">
          <x14:formula1>
            <xm:f>'Tabla Valoración controles'!$D$9:$D$10</xm:f>
          </x14:formula1>
          <xm:sqref>U10:U13</xm:sqref>
        </x14:dataValidation>
        <x14:dataValidation type="list" allowBlank="1" showInputMessage="1" showErrorMessage="1" xr:uid="{F8DF9CEA-04B6-4CDA-A6F4-C2EEBADD5E43}">
          <x14:formula1>
            <xm:f>'Tabla Valoración controles'!$D$11:$D$12</xm:f>
          </x14:formula1>
          <xm:sqref>V10:V13</xm:sqref>
        </x14:dataValidation>
        <x14:dataValidation type="list" allowBlank="1" showInputMessage="1" showErrorMessage="1" xr:uid="{40F1C490-074A-49B7-B58E-847C10F14DB9}">
          <x14:formula1>
            <xm:f>'Tabla Valoración controles'!$D$13:$D$14</xm:f>
          </x14:formula1>
          <xm:sqref>W10:W13</xm:sqref>
        </x14:dataValidation>
        <x14:dataValidation type="list" allowBlank="1" showInputMessage="1" showErrorMessage="1" xr:uid="{00000000-0002-0000-0D00-000005000000}">
          <x14:formula1>
            <xm:f>'Opciones Tratamiento'!$B$13:$B$19</xm:f>
          </x14:formula1>
          <xm:sqref>F10:F13</xm:sqref>
        </x14:dataValidation>
        <x14:dataValidation type="list" allowBlank="1" showInputMessage="1" showErrorMessage="1" xr:uid="{00000000-0002-0000-0D00-000007000000}">
          <x14:formula1>
            <xm:f>'Opciones Tratamiento'!$B$2:$B$5</xm:f>
          </x14:formula1>
          <xm:sqref>AD10</xm:sqref>
        </x14:dataValidation>
        <x14:dataValidation type="custom" allowBlank="1" showInputMessage="1" showErrorMessage="1" error="Recuerde que las acciones se generan bajo la medida de mitigar el riesgo" xr:uid="{00000000-0002-0000-0D00-00000A000000}">
          <x14:formula1>
            <xm:f>IF(OR(AD10='Opciones Tratamiento'!$B$2,AD10='Opciones Tratamiento'!$B$3,AD10='Opciones Tratamiento'!$B$4),ISBLANK(AD10),ISTEXT(AD10))</xm:f>
          </x14:formula1>
          <xm:sqref>AF10:AF13</xm:sqref>
        </x14:dataValidation>
        <x14:dataValidation type="custom" allowBlank="1" showInputMessage="1" showErrorMessage="1" error="Recuerde que las acciones se generan bajo la medida de mitigar el riesgo" xr:uid="{00000000-0002-0000-0D00-00000B000000}">
          <x14:formula1>
            <xm:f>IF(OR(AD10='Opciones Tratamiento'!$B$2,AD10='Opciones Tratamiento'!$B$3,AD10='Opciones Tratamiento'!$B$4),ISBLANK(AD10),ISTEXT(AD10))</xm:f>
          </x14:formula1>
          <xm:sqref>AG10:AG13</xm:sqref>
        </x14:dataValidation>
        <x14:dataValidation type="custom" allowBlank="1" showInputMessage="1" showErrorMessage="1" error="Recuerde que las acciones se generan bajo la medida de mitigar el riesgo" xr:uid="{00000000-0002-0000-0D00-00000C000000}">
          <x14:formula1>
            <xm:f>IF(OR(AD13='Opciones Tratamiento'!$B$2,AD13='Opciones Tratamiento'!$B$3,AD13='Opciones Tratamiento'!$B$4),ISBLANK(AD13),ISTEXT(AD13))</xm:f>
          </x14:formula1>
          <xm:sqref>AH13</xm:sqref>
        </x14:dataValidation>
        <x14:dataValidation type="custom" allowBlank="1" showInputMessage="1" showErrorMessage="1" error="Recuerde que las acciones se generan bajo la medida de mitigar el riesgo" xr:uid="{00000000-0002-0000-0D00-00000D000000}">
          <x14:formula1>
            <xm:f>IF(OR(AC10='Opciones Tratamiento'!$B$2,AC10='Opciones Tratamiento'!$B$3,AC10='Opciones Tratamiento'!$B$4),ISBLANK(AC10),ISTEXT(AC10))</xm:f>
          </x14:formula1>
          <xm:sqref>AJ10:AJ13 AH10:AH12</xm:sqref>
        </x14:dataValidation>
        <x14:dataValidation type="list" allowBlank="1" showInputMessage="1" showErrorMessage="1" xr:uid="{9F5F5BC3-3823-4A30-9A06-EF67E02717EE}">
          <x14:formula1>
            <xm:f>'Tabla Impacto'!$I$3:$I$8</xm:f>
          </x14:formula1>
          <xm:sqref>B10:B13</xm:sqref>
        </x14:dataValidation>
        <x14:dataValidation type="list" allowBlank="1" showInputMessage="1" showErrorMessage="1" xr:uid="{BAC127FF-C668-4316-A3B3-3DAD79AF909C}">
          <x14:formula1>
            <xm:f>'Tabla Impacto'!$B$3:$B$8</xm:f>
          </x14:formula1>
          <xm:sqref>L10 L12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2"/>
  <sheetViews>
    <sheetView workbookViewId="0">
      <selection activeCell="C12" sqref="C12"/>
    </sheetView>
  </sheetViews>
  <sheetFormatPr baseColWidth="10" defaultRowHeight="15" x14ac:dyDescent="0.25"/>
  <cols>
    <col min="2" max="2" width="43.140625" customWidth="1"/>
  </cols>
  <sheetData>
    <row r="2" spans="2:3" ht="210" x14ac:dyDescent="0.25">
      <c r="B2" s="400" t="s">
        <v>353</v>
      </c>
      <c r="C2" s="401" t="s">
        <v>354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CU140"/>
  <sheetViews>
    <sheetView zoomScale="50" zoomScaleNormal="50" workbookViewId="0">
      <selection activeCell="L6" sqref="L6:M7"/>
    </sheetView>
  </sheetViews>
  <sheetFormatPr baseColWidth="10" defaultColWidth="11.28515625" defaultRowHeight="15" x14ac:dyDescent="0.25"/>
  <cols>
    <col min="2" max="39" width="5.85546875" customWidth="1"/>
    <col min="41" max="46" width="5.85546875" customWidth="1"/>
  </cols>
  <sheetData>
    <row r="1" spans="1:99" x14ac:dyDescent="0.25">
      <c r="A1" s="73"/>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row>
    <row r="2" spans="1:99" ht="18" customHeight="1" x14ac:dyDescent="0.25">
      <c r="A2" s="73"/>
      <c r="B2" s="725" t="s">
        <v>107</v>
      </c>
      <c r="C2" s="725"/>
      <c r="D2" s="725"/>
      <c r="E2" s="725"/>
      <c r="F2" s="725"/>
      <c r="G2" s="725"/>
      <c r="H2" s="725"/>
      <c r="I2" s="725"/>
      <c r="J2" s="762" t="s">
        <v>15</v>
      </c>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M2" s="762"/>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row>
    <row r="3" spans="1:99" ht="18.75" customHeight="1" x14ac:dyDescent="0.25">
      <c r="A3" s="73"/>
      <c r="B3" s="725"/>
      <c r="C3" s="725"/>
      <c r="D3" s="725"/>
      <c r="E3" s="725"/>
      <c r="F3" s="725"/>
      <c r="G3" s="725"/>
      <c r="H3" s="725"/>
      <c r="I3" s="725"/>
      <c r="J3" s="762"/>
      <c r="K3" s="762"/>
      <c r="L3" s="762"/>
      <c r="M3" s="762"/>
      <c r="N3" s="762"/>
      <c r="O3" s="762"/>
      <c r="P3" s="762"/>
      <c r="Q3" s="762"/>
      <c r="R3" s="762"/>
      <c r="S3" s="762"/>
      <c r="T3" s="762"/>
      <c r="U3" s="762"/>
      <c r="V3" s="762"/>
      <c r="W3" s="762"/>
      <c r="X3" s="762"/>
      <c r="Y3" s="762"/>
      <c r="Z3" s="762"/>
      <c r="AA3" s="762"/>
      <c r="AB3" s="762"/>
      <c r="AC3" s="762"/>
      <c r="AD3" s="762"/>
      <c r="AE3" s="762"/>
      <c r="AF3" s="762"/>
      <c r="AG3" s="762"/>
      <c r="AH3" s="762"/>
      <c r="AI3" s="762"/>
      <c r="AJ3" s="762"/>
      <c r="AK3" s="762"/>
      <c r="AL3" s="762"/>
      <c r="AM3" s="762"/>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row>
    <row r="4" spans="1:99" ht="15" customHeight="1" x14ac:dyDescent="0.25">
      <c r="A4" s="73"/>
      <c r="B4" s="725"/>
      <c r="C4" s="725"/>
      <c r="D4" s="725"/>
      <c r="E4" s="725"/>
      <c r="F4" s="725"/>
      <c r="G4" s="725"/>
      <c r="H4" s="725"/>
      <c r="I4" s="725"/>
      <c r="J4" s="762"/>
      <c r="K4" s="762"/>
      <c r="L4" s="762"/>
      <c r="M4" s="762"/>
      <c r="N4" s="762"/>
      <c r="O4" s="762"/>
      <c r="P4" s="762"/>
      <c r="Q4" s="762"/>
      <c r="R4" s="762"/>
      <c r="S4" s="762"/>
      <c r="T4" s="762"/>
      <c r="U4" s="762"/>
      <c r="V4" s="762"/>
      <c r="W4" s="762"/>
      <c r="X4" s="762"/>
      <c r="Y4" s="762"/>
      <c r="Z4" s="762"/>
      <c r="AA4" s="762"/>
      <c r="AB4" s="762"/>
      <c r="AC4" s="762"/>
      <c r="AD4" s="762"/>
      <c r="AE4" s="762"/>
      <c r="AF4" s="762"/>
      <c r="AG4" s="762"/>
      <c r="AH4" s="762"/>
      <c r="AI4" s="762"/>
      <c r="AJ4" s="762"/>
      <c r="AK4" s="762"/>
      <c r="AL4" s="762"/>
      <c r="AM4" s="762"/>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row>
    <row r="5" spans="1:99" ht="15.75" thickBot="1" x14ac:dyDescent="0.3">
      <c r="A5" s="73"/>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c r="CH5" s="73"/>
      <c r="CI5" s="73"/>
      <c r="CJ5" s="73"/>
      <c r="CK5" s="73"/>
      <c r="CL5" s="73"/>
      <c r="CM5" s="73"/>
      <c r="CN5" s="73"/>
      <c r="CO5" s="73"/>
      <c r="CP5" s="73"/>
      <c r="CQ5" s="73"/>
      <c r="CR5" s="73"/>
      <c r="CS5" s="73"/>
      <c r="CT5" s="73"/>
      <c r="CU5" s="73"/>
    </row>
    <row r="6" spans="1:99" ht="15" customHeight="1" x14ac:dyDescent="0.25">
      <c r="A6" s="73"/>
      <c r="B6" s="773" t="s">
        <v>108</v>
      </c>
      <c r="C6" s="773"/>
      <c r="D6" s="774"/>
      <c r="E6" s="763" t="s">
        <v>109</v>
      </c>
      <c r="F6" s="764"/>
      <c r="G6" s="764"/>
      <c r="H6" s="764"/>
      <c r="I6" s="765"/>
      <c r="J6" s="759" t="str">
        <f>IF(AND('Administrativo '!$H$10="Muy Alta",'Administrativo '!$L$10="Leve"),CONCATENATE("R",'Administrativo '!$A$10),"")</f>
        <v/>
      </c>
      <c r="K6" s="760"/>
      <c r="L6" s="760" t="e">
        <f>IF(AND('Administrativo '!#REF!="Muy Alta",'Administrativo '!#REF!="Leve"),CONCATENATE("R",'Administrativo '!#REF!),"")</f>
        <v>#REF!</v>
      </c>
      <c r="M6" s="760"/>
      <c r="N6" s="760" t="e">
        <f>IF(AND('Administrativo '!#REF!="Muy Alta",'Administrativo '!#REF!="Leve"),CONCATENATE("R",'Administrativo '!#REF!),"")</f>
        <v>#REF!</v>
      </c>
      <c r="O6" s="761"/>
      <c r="P6" s="759" t="str">
        <f>IF(AND('Administrativo '!$H$10="Muy Alta",'Administrativo '!$L$10="Menor"),CONCATENATE("R",'Administrativo '!$A$10),"")</f>
        <v/>
      </c>
      <c r="Q6" s="760"/>
      <c r="R6" s="760" t="e">
        <f>IF(AND('Administrativo '!#REF!="Muy Alta",'Administrativo '!#REF!="Menor"),CONCATENATE("R",'Administrativo '!#REF!),"")</f>
        <v>#REF!</v>
      </c>
      <c r="S6" s="760"/>
      <c r="T6" s="760" t="e">
        <f>IF(AND('Administrativo '!#REF!="Muy Alta",'Administrativo '!#REF!="Menor"),CONCATENATE("R",'Administrativo '!#REF!),"")</f>
        <v>#REF!</v>
      </c>
      <c r="U6" s="761"/>
      <c r="V6" s="759" t="str">
        <f>IF(AND('Administrativo '!$H$10="Muy Alta",'Administrativo '!$L$10="Moderado"),CONCATENATE("R",'Administrativo '!$A$10),"")</f>
        <v/>
      </c>
      <c r="W6" s="760"/>
      <c r="X6" s="760" t="e">
        <f>IF(AND('Administrativo '!#REF!="Muy Alta",'Administrativo '!#REF!="Moderado"),CONCATENATE("R",'Administrativo '!#REF!),"")</f>
        <v>#REF!</v>
      </c>
      <c r="Y6" s="760"/>
      <c r="Z6" s="760" t="e">
        <f>IF(AND('Administrativo '!#REF!="Muy Alta",'Administrativo '!#REF!="Moderado"),CONCATENATE("R",'Administrativo '!#REF!),"")</f>
        <v>#REF!</v>
      </c>
      <c r="AA6" s="761"/>
      <c r="AB6" s="759" t="str">
        <f>IF(AND('Administrativo '!$H$10="Muy Alta",'Administrativo '!$L$10="Mayor"),CONCATENATE("R",'Administrativo '!$A$10),"")</f>
        <v/>
      </c>
      <c r="AC6" s="760"/>
      <c r="AD6" s="760" t="e">
        <f>IF(AND('Administrativo '!#REF!="Muy Alta",'Administrativo '!#REF!="Mayor"),CONCATENATE("R",'Administrativo '!#REF!),"")</f>
        <v>#REF!</v>
      </c>
      <c r="AE6" s="760"/>
      <c r="AF6" s="760" t="e">
        <f>IF(AND('Administrativo '!#REF!="Muy Alta",'Administrativo '!#REF!="Mayor"),CONCATENATE("R",'Administrativo '!#REF!),"")</f>
        <v>#REF!</v>
      </c>
      <c r="AG6" s="761"/>
      <c r="AH6" s="750" t="str">
        <f>IF(AND('Administrativo '!$H$10="Muy Alta",'Administrativo '!$L$10="Catastrófico"),CONCATENATE("R",'Administrativo '!$A$10),"")</f>
        <v/>
      </c>
      <c r="AI6" s="751"/>
      <c r="AJ6" s="751" t="e">
        <f>IF(AND('Administrativo '!#REF!="Muy Alta",'Administrativo '!#REF!="Catastrófico"),CONCATENATE("R",'Administrativo '!#REF!),"")</f>
        <v>#REF!</v>
      </c>
      <c r="AK6" s="751"/>
      <c r="AL6" s="751" t="e">
        <f>IF(AND('Administrativo '!#REF!="Muy Alta",'Administrativo '!#REF!="Catastrófico"),CONCATENATE("R",'Administrativo '!#REF!),"")</f>
        <v>#REF!</v>
      </c>
      <c r="AM6" s="752"/>
      <c r="AO6" s="775" t="s">
        <v>110</v>
      </c>
      <c r="AP6" s="776"/>
      <c r="AQ6" s="776"/>
      <c r="AR6" s="776"/>
      <c r="AS6" s="776"/>
      <c r="AT6" s="777"/>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row>
    <row r="7" spans="1:99" ht="15" customHeight="1" x14ac:dyDescent="0.25">
      <c r="A7" s="73"/>
      <c r="B7" s="773"/>
      <c r="C7" s="773"/>
      <c r="D7" s="774"/>
      <c r="E7" s="766"/>
      <c r="F7" s="767"/>
      <c r="G7" s="767"/>
      <c r="H7" s="767"/>
      <c r="I7" s="768"/>
      <c r="J7" s="753"/>
      <c r="K7" s="754"/>
      <c r="L7" s="754"/>
      <c r="M7" s="754"/>
      <c r="N7" s="754"/>
      <c r="O7" s="755"/>
      <c r="P7" s="753"/>
      <c r="Q7" s="754"/>
      <c r="R7" s="754"/>
      <c r="S7" s="754"/>
      <c r="T7" s="754"/>
      <c r="U7" s="755"/>
      <c r="V7" s="753"/>
      <c r="W7" s="754"/>
      <c r="X7" s="754"/>
      <c r="Y7" s="754"/>
      <c r="Z7" s="754"/>
      <c r="AA7" s="755"/>
      <c r="AB7" s="753"/>
      <c r="AC7" s="754"/>
      <c r="AD7" s="754"/>
      <c r="AE7" s="754"/>
      <c r="AF7" s="754"/>
      <c r="AG7" s="755"/>
      <c r="AH7" s="744"/>
      <c r="AI7" s="745"/>
      <c r="AJ7" s="745"/>
      <c r="AK7" s="745"/>
      <c r="AL7" s="745"/>
      <c r="AM7" s="746"/>
      <c r="AN7" s="73"/>
      <c r="AO7" s="778"/>
      <c r="AP7" s="779"/>
      <c r="AQ7" s="779"/>
      <c r="AR7" s="779"/>
      <c r="AS7" s="779"/>
      <c r="AT7" s="780"/>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row>
    <row r="8" spans="1:99" ht="15" customHeight="1" x14ac:dyDescent="0.25">
      <c r="A8" s="73"/>
      <c r="B8" s="773"/>
      <c r="C8" s="773"/>
      <c r="D8" s="774"/>
      <c r="E8" s="766"/>
      <c r="F8" s="767"/>
      <c r="G8" s="767"/>
      <c r="H8" s="767"/>
      <c r="I8" s="768"/>
      <c r="J8" s="753" t="e">
        <f>IF(AND('Administrativo '!#REF!="Muy Alta",'Administrativo '!#REF!="Leve"),CONCATENATE("R",'Administrativo '!#REF!),"")</f>
        <v>#REF!</v>
      </c>
      <c r="K8" s="754"/>
      <c r="L8" s="754" t="e">
        <f>IF(AND('Administrativo '!#REF!="Muy Alta",'Administrativo '!#REF!="Leve"),CONCATENATE("R",'Administrativo '!#REF!),"")</f>
        <v>#REF!</v>
      </c>
      <c r="M8" s="754"/>
      <c r="N8" s="754" t="e">
        <f>IF(AND('Administrativo '!#REF!="Muy Alta",'Administrativo '!#REF!="Leve"),CONCATENATE("R",'Administrativo '!#REF!),"")</f>
        <v>#REF!</v>
      </c>
      <c r="O8" s="755"/>
      <c r="P8" s="753" t="e">
        <f>IF(AND('Administrativo '!#REF!="Muy Alta",'Administrativo '!#REF!="Menor"),CONCATENATE("R",'Administrativo '!#REF!),"")</f>
        <v>#REF!</v>
      </c>
      <c r="Q8" s="754"/>
      <c r="R8" s="754" t="e">
        <f>IF(AND('Administrativo '!#REF!="Muy Alta",'Administrativo '!#REF!="Menor"),CONCATENATE("R",'Administrativo '!#REF!),"")</f>
        <v>#REF!</v>
      </c>
      <c r="S8" s="754"/>
      <c r="T8" s="754" t="e">
        <f>IF(AND('Administrativo '!#REF!="Muy Alta",'Administrativo '!#REF!="Menor"),CONCATENATE("R",'Administrativo '!#REF!),"")</f>
        <v>#REF!</v>
      </c>
      <c r="U8" s="755"/>
      <c r="V8" s="753" t="e">
        <f>IF(AND('Administrativo '!#REF!="Muy Alta",'Administrativo '!#REF!="Moderado"),CONCATENATE("R",'Administrativo '!#REF!),"")</f>
        <v>#REF!</v>
      </c>
      <c r="W8" s="754"/>
      <c r="X8" s="754" t="e">
        <f>IF(AND('Administrativo '!#REF!="Muy Alta",'Administrativo '!#REF!="Moderado"),CONCATENATE("R",'Administrativo '!#REF!),"")</f>
        <v>#REF!</v>
      </c>
      <c r="Y8" s="754"/>
      <c r="Z8" s="754" t="e">
        <f>IF(AND('Administrativo '!#REF!="Muy Alta",'Administrativo '!#REF!="Moderado"),CONCATENATE("R",'Administrativo '!#REF!),"")</f>
        <v>#REF!</v>
      </c>
      <c r="AA8" s="755"/>
      <c r="AB8" s="753" t="e">
        <f>IF(AND('Administrativo '!#REF!="Muy Alta",'Administrativo '!#REF!="Mayor"),CONCATENATE("R",'Administrativo '!#REF!),"")</f>
        <v>#REF!</v>
      </c>
      <c r="AC8" s="754"/>
      <c r="AD8" s="754" t="e">
        <f>IF(AND('Administrativo '!#REF!="Muy Alta",'Administrativo '!#REF!="Mayor"),CONCATENATE("R",'Administrativo '!#REF!),"")</f>
        <v>#REF!</v>
      </c>
      <c r="AE8" s="754"/>
      <c r="AF8" s="754" t="e">
        <f>IF(AND('Administrativo '!#REF!="Muy Alta",'Administrativo '!#REF!="Mayor"),CONCATENATE("R",'Administrativo '!#REF!),"")</f>
        <v>#REF!</v>
      </c>
      <c r="AG8" s="755"/>
      <c r="AH8" s="744" t="e">
        <f>IF(AND('Administrativo '!#REF!="Muy Alta",'Administrativo '!#REF!="Catastrófico"),CONCATENATE("R",'Administrativo '!#REF!),"")</f>
        <v>#REF!</v>
      </c>
      <c r="AI8" s="745"/>
      <c r="AJ8" s="745" t="e">
        <f>IF(AND('Administrativo '!#REF!="Muy Alta",'Administrativo '!#REF!="Catastrófico"),CONCATENATE("R",'Administrativo '!#REF!),"")</f>
        <v>#REF!</v>
      </c>
      <c r="AK8" s="745"/>
      <c r="AL8" s="745" t="e">
        <f>IF(AND('Administrativo '!#REF!="Muy Alta",'Administrativo '!#REF!="Catastrófico"),CONCATENATE("R",'Administrativo '!#REF!),"")</f>
        <v>#REF!</v>
      </c>
      <c r="AM8" s="746"/>
      <c r="AN8" s="73"/>
      <c r="AO8" s="778"/>
      <c r="AP8" s="779"/>
      <c r="AQ8" s="779"/>
      <c r="AR8" s="779"/>
      <c r="AS8" s="779"/>
      <c r="AT8" s="780"/>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row>
    <row r="9" spans="1:99" ht="15" customHeight="1" x14ac:dyDescent="0.25">
      <c r="A9" s="73"/>
      <c r="B9" s="773"/>
      <c r="C9" s="773"/>
      <c r="D9" s="774"/>
      <c r="E9" s="766"/>
      <c r="F9" s="767"/>
      <c r="G9" s="767"/>
      <c r="H9" s="767"/>
      <c r="I9" s="768"/>
      <c r="J9" s="753"/>
      <c r="K9" s="754"/>
      <c r="L9" s="754"/>
      <c r="M9" s="754"/>
      <c r="N9" s="754"/>
      <c r="O9" s="755"/>
      <c r="P9" s="753"/>
      <c r="Q9" s="754"/>
      <c r="R9" s="754"/>
      <c r="S9" s="754"/>
      <c r="T9" s="754"/>
      <c r="U9" s="755"/>
      <c r="V9" s="753"/>
      <c r="W9" s="754"/>
      <c r="X9" s="754"/>
      <c r="Y9" s="754"/>
      <c r="Z9" s="754"/>
      <c r="AA9" s="755"/>
      <c r="AB9" s="753"/>
      <c r="AC9" s="754"/>
      <c r="AD9" s="754"/>
      <c r="AE9" s="754"/>
      <c r="AF9" s="754"/>
      <c r="AG9" s="755"/>
      <c r="AH9" s="744"/>
      <c r="AI9" s="745"/>
      <c r="AJ9" s="745"/>
      <c r="AK9" s="745"/>
      <c r="AL9" s="745"/>
      <c r="AM9" s="746"/>
      <c r="AN9" s="73"/>
      <c r="AO9" s="778"/>
      <c r="AP9" s="779"/>
      <c r="AQ9" s="779"/>
      <c r="AR9" s="779"/>
      <c r="AS9" s="779"/>
      <c r="AT9" s="780"/>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row>
    <row r="10" spans="1:99" ht="15" customHeight="1" x14ac:dyDescent="0.25">
      <c r="A10" s="73"/>
      <c r="B10" s="773"/>
      <c r="C10" s="773"/>
      <c r="D10" s="774"/>
      <c r="E10" s="766"/>
      <c r="F10" s="767"/>
      <c r="G10" s="767"/>
      <c r="H10" s="767"/>
      <c r="I10" s="768"/>
      <c r="J10" s="753" t="e">
        <f>IF(AND('Administrativo '!#REF!="Muy Alta",'Administrativo '!#REF!="Leve"),CONCATENATE("R",'Administrativo '!#REF!),"")</f>
        <v>#REF!</v>
      </c>
      <c r="K10" s="754"/>
      <c r="L10" s="754" t="e">
        <f>IF(AND('Administrativo '!#REF!="Muy Alta",'Administrativo '!#REF!="Leve"),CONCATENATE("R",'Administrativo '!#REF!),"")</f>
        <v>#REF!</v>
      </c>
      <c r="M10" s="754"/>
      <c r="N10" s="754" t="e">
        <f>IF(AND('Administrativo '!#REF!="Muy Alta",'Administrativo '!#REF!="Leve"),CONCATENATE("R",'Administrativo '!#REF!),"")</f>
        <v>#REF!</v>
      </c>
      <c r="O10" s="755"/>
      <c r="P10" s="753" t="e">
        <f>IF(AND('Administrativo '!#REF!="Muy Alta",'Administrativo '!#REF!="Menor"),CONCATENATE("R",'Administrativo '!#REF!),"")</f>
        <v>#REF!</v>
      </c>
      <c r="Q10" s="754"/>
      <c r="R10" s="754" t="e">
        <f>IF(AND('Administrativo '!#REF!="Muy Alta",'Administrativo '!#REF!="Menor"),CONCATENATE("R",'Administrativo '!#REF!),"")</f>
        <v>#REF!</v>
      </c>
      <c r="S10" s="754"/>
      <c r="T10" s="754" t="e">
        <f>IF(AND('Administrativo '!#REF!="Muy Alta",'Administrativo '!#REF!="Menor"),CONCATENATE("R",'Administrativo '!#REF!),"")</f>
        <v>#REF!</v>
      </c>
      <c r="U10" s="755"/>
      <c r="V10" s="753" t="e">
        <f>IF(AND('Administrativo '!#REF!="Muy Alta",'Administrativo '!#REF!="Moderado"),CONCATENATE("R",'Administrativo '!#REF!),"")</f>
        <v>#REF!</v>
      </c>
      <c r="W10" s="754"/>
      <c r="X10" s="754" t="e">
        <f>IF(AND('Administrativo '!#REF!="Muy Alta",'Administrativo '!#REF!="Moderado"),CONCATENATE("R",'Administrativo '!#REF!),"")</f>
        <v>#REF!</v>
      </c>
      <c r="Y10" s="754"/>
      <c r="Z10" s="754" t="e">
        <f>IF(AND('Administrativo '!#REF!="Muy Alta",'Administrativo '!#REF!="Moderado"),CONCATENATE("R",'Administrativo '!#REF!),"")</f>
        <v>#REF!</v>
      </c>
      <c r="AA10" s="755"/>
      <c r="AB10" s="753" t="e">
        <f>IF(AND('Administrativo '!#REF!="Muy Alta",'Administrativo '!#REF!="Mayor"),CONCATENATE("R",'Administrativo '!#REF!),"")</f>
        <v>#REF!</v>
      </c>
      <c r="AC10" s="754"/>
      <c r="AD10" s="754" t="e">
        <f>IF(AND('Administrativo '!#REF!="Muy Alta",'Administrativo '!#REF!="Mayor"),CONCATENATE("R",'Administrativo '!#REF!),"")</f>
        <v>#REF!</v>
      </c>
      <c r="AE10" s="754"/>
      <c r="AF10" s="754" t="e">
        <f>IF(AND('Administrativo '!#REF!="Muy Alta",'Administrativo '!#REF!="Mayor"),CONCATENATE("R",'Administrativo '!#REF!),"")</f>
        <v>#REF!</v>
      </c>
      <c r="AG10" s="755"/>
      <c r="AH10" s="744" t="e">
        <f>IF(AND('Administrativo '!#REF!="Muy Alta",'Administrativo '!#REF!="Catastrófico"),CONCATENATE("R",'Administrativo '!#REF!),"")</f>
        <v>#REF!</v>
      </c>
      <c r="AI10" s="745"/>
      <c r="AJ10" s="745" t="e">
        <f>IF(AND('Administrativo '!#REF!="Muy Alta",'Administrativo '!#REF!="Catastrófico"),CONCATENATE("R",'Administrativo '!#REF!),"")</f>
        <v>#REF!</v>
      </c>
      <c r="AK10" s="745"/>
      <c r="AL10" s="745" t="e">
        <f>IF(AND('Administrativo '!#REF!="Muy Alta",'Administrativo '!#REF!="Catastrófico"),CONCATENATE("R",'Administrativo '!#REF!),"")</f>
        <v>#REF!</v>
      </c>
      <c r="AM10" s="746"/>
      <c r="AN10" s="73"/>
      <c r="AO10" s="778"/>
      <c r="AP10" s="779"/>
      <c r="AQ10" s="779"/>
      <c r="AR10" s="779"/>
      <c r="AS10" s="779"/>
      <c r="AT10" s="780"/>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row>
    <row r="11" spans="1:99" ht="15" customHeight="1" x14ac:dyDescent="0.25">
      <c r="A11" s="73"/>
      <c r="B11" s="773"/>
      <c r="C11" s="773"/>
      <c r="D11" s="774"/>
      <c r="E11" s="766"/>
      <c r="F11" s="767"/>
      <c r="G11" s="767"/>
      <c r="H11" s="767"/>
      <c r="I11" s="768"/>
      <c r="J11" s="753"/>
      <c r="K11" s="754"/>
      <c r="L11" s="754"/>
      <c r="M11" s="754"/>
      <c r="N11" s="754"/>
      <c r="O11" s="755"/>
      <c r="P11" s="753"/>
      <c r="Q11" s="754"/>
      <c r="R11" s="754"/>
      <c r="S11" s="754"/>
      <c r="T11" s="754"/>
      <c r="U11" s="755"/>
      <c r="V11" s="753"/>
      <c r="W11" s="754"/>
      <c r="X11" s="754"/>
      <c r="Y11" s="754"/>
      <c r="Z11" s="754"/>
      <c r="AA11" s="755"/>
      <c r="AB11" s="753"/>
      <c r="AC11" s="754"/>
      <c r="AD11" s="754"/>
      <c r="AE11" s="754"/>
      <c r="AF11" s="754"/>
      <c r="AG11" s="755"/>
      <c r="AH11" s="744"/>
      <c r="AI11" s="745"/>
      <c r="AJ11" s="745"/>
      <c r="AK11" s="745"/>
      <c r="AL11" s="745"/>
      <c r="AM11" s="746"/>
      <c r="AN11" s="73"/>
      <c r="AO11" s="778"/>
      <c r="AP11" s="779"/>
      <c r="AQ11" s="779"/>
      <c r="AR11" s="779"/>
      <c r="AS11" s="779"/>
      <c r="AT11" s="780"/>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c r="BW11" s="73"/>
      <c r="BX11" s="73"/>
      <c r="BY11" s="73"/>
      <c r="BZ11" s="73"/>
      <c r="CA11" s="73"/>
      <c r="CB11" s="73"/>
    </row>
    <row r="12" spans="1:99" ht="15" customHeight="1" x14ac:dyDescent="0.25">
      <c r="A12" s="73"/>
      <c r="B12" s="773"/>
      <c r="C12" s="773"/>
      <c r="D12" s="774"/>
      <c r="E12" s="766"/>
      <c r="F12" s="767"/>
      <c r="G12" s="767"/>
      <c r="H12" s="767"/>
      <c r="I12" s="768"/>
      <c r="J12" s="753" t="e">
        <f>IF(AND('Administrativo '!#REF!="Muy Alta",'Administrativo '!#REF!="Leve"),CONCATENATE("R",'Administrativo '!#REF!),"")</f>
        <v>#REF!</v>
      </c>
      <c r="K12" s="754"/>
      <c r="L12" s="754" t="str">
        <f>IF(AND('Administrativo '!$H$14="Muy Alta",'Administrativo '!$L$14="Leve"),CONCATENATE("R",'Administrativo '!$A$14),"")</f>
        <v/>
      </c>
      <c r="M12" s="754"/>
      <c r="N12" s="754" t="str">
        <f>IF(AND('Administrativo '!$H$20="Muy Alta",'Administrativo '!$L$20="Leve"),CONCATENATE("R",'Administrativo '!$A$20),"")</f>
        <v/>
      </c>
      <c r="O12" s="755"/>
      <c r="P12" s="753" t="e">
        <f>IF(AND('Administrativo '!#REF!="Muy Alta",'Administrativo '!#REF!="Menor"),CONCATENATE("R",'Administrativo '!#REF!),"")</f>
        <v>#REF!</v>
      </c>
      <c r="Q12" s="754"/>
      <c r="R12" s="754" t="str">
        <f>IF(AND('Administrativo '!$H$14="Muy Alta",'Administrativo '!$L$14="Menor"),CONCATENATE("R",'Administrativo '!$A$14),"")</f>
        <v/>
      </c>
      <c r="S12" s="754"/>
      <c r="T12" s="754" t="str">
        <f>IF(AND('Administrativo '!$H$20="Muy Alta",'Administrativo '!$L$20="Menor"),CONCATENATE("R",'Administrativo '!$A$20),"")</f>
        <v/>
      </c>
      <c r="U12" s="755"/>
      <c r="V12" s="753" t="e">
        <f>IF(AND('Administrativo '!#REF!="Muy Alta",'Administrativo '!#REF!="Moderado"),CONCATENATE("R",'Administrativo '!#REF!),"")</f>
        <v>#REF!</v>
      </c>
      <c r="W12" s="754"/>
      <c r="X12" s="754" t="str">
        <f>IF(AND('Administrativo '!$H$14="Muy Alta",'Administrativo '!$L$14="Moderado"),CONCATENATE("R",'Administrativo '!$A$14),"")</f>
        <v/>
      </c>
      <c r="Y12" s="754"/>
      <c r="Z12" s="754" t="str">
        <f>IF(AND('Administrativo '!$H$20="Muy Alta",'Administrativo '!$L$20="Moderado"),CONCATENATE("R",'Administrativo '!$A$20),"")</f>
        <v/>
      </c>
      <c r="AA12" s="755"/>
      <c r="AB12" s="753" t="e">
        <f>IF(AND('Administrativo '!#REF!="Muy Alta",'Administrativo '!#REF!="Mayor"),CONCATENATE("R",'Administrativo '!#REF!),"")</f>
        <v>#REF!</v>
      </c>
      <c r="AC12" s="754"/>
      <c r="AD12" s="754" t="str">
        <f>IF(AND('Administrativo '!$H$14="Muy Alta",'Administrativo '!$L$14="Mayor"),CONCATENATE("R",'Administrativo '!$A$14),"")</f>
        <v/>
      </c>
      <c r="AE12" s="754"/>
      <c r="AF12" s="754" t="str">
        <f>IF(AND('Administrativo '!$H$20="Muy Alta",'Administrativo '!$L$20="Mayor"),CONCATENATE("R",'Administrativo '!$A$20),"")</f>
        <v/>
      </c>
      <c r="AG12" s="755"/>
      <c r="AH12" s="744" t="e">
        <f>IF(AND('Administrativo '!#REF!="Muy Alta",'Administrativo '!#REF!="Catastrófico"),CONCATENATE("R",'Administrativo '!#REF!),"")</f>
        <v>#REF!</v>
      </c>
      <c r="AI12" s="745"/>
      <c r="AJ12" s="745" t="str">
        <f>IF(AND('Administrativo '!$H$14="Muy Alta",'Administrativo '!$L$14="Catastrófico"),CONCATENATE("R",'Administrativo '!$A$14),"")</f>
        <v/>
      </c>
      <c r="AK12" s="745"/>
      <c r="AL12" s="745" t="str">
        <f>IF(AND('Administrativo '!$H$20="Muy Alta",'Administrativo '!$L$20="Catastrófico"),CONCATENATE("R",'Administrativo '!$A$20),"")</f>
        <v/>
      </c>
      <c r="AM12" s="746"/>
      <c r="AN12" s="73"/>
      <c r="AO12" s="778"/>
      <c r="AP12" s="779"/>
      <c r="AQ12" s="779"/>
      <c r="AR12" s="779"/>
      <c r="AS12" s="779"/>
      <c r="AT12" s="780"/>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row>
    <row r="13" spans="1:99" ht="15.75" customHeight="1" thickBot="1" x14ac:dyDescent="0.3">
      <c r="A13" s="73"/>
      <c r="B13" s="773"/>
      <c r="C13" s="773"/>
      <c r="D13" s="774"/>
      <c r="E13" s="769"/>
      <c r="F13" s="770"/>
      <c r="G13" s="770"/>
      <c r="H13" s="770"/>
      <c r="I13" s="771"/>
      <c r="J13" s="753"/>
      <c r="K13" s="754"/>
      <c r="L13" s="754"/>
      <c r="M13" s="754"/>
      <c r="N13" s="754"/>
      <c r="O13" s="755"/>
      <c r="P13" s="753"/>
      <c r="Q13" s="754"/>
      <c r="R13" s="754"/>
      <c r="S13" s="754"/>
      <c r="T13" s="754"/>
      <c r="U13" s="755"/>
      <c r="V13" s="753"/>
      <c r="W13" s="754"/>
      <c r="X13" s="754"/>
      <c r="Y13" s="754"/>
      <c r="Z13" s="754"/>
      <c r="AA13" s="755"/>
      <c r="AB13" s="753"/>
      <c r="AC13" s="754"/>
      <c r="AD13" s="754"/>
      <c r="AE13" s="754"/>
      <c r="AF13" s="754"/>
      <c r="AG13" s="755"/>
      <c r="AH13" s="747"/>
      <c r="AI13" s="748"/>
      <c r="AJ13" s="748"/>
      <c r="AK13" s="748"/>
      <c r="AL13" s="748"/>
      <c r="AM13" s="749"/>
      <c r="AN13" s="73"/>
      <c r="AO13" s="781"/>
      <c r="AP13" s="782"/>
      <c r="AQ13" s="782"/>
      <c r="AR13" s="782"/>
      <c r="AS13" s="782"/>
      <c r="AT13" s="78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row>
    <row r="14" spans="1:99" ht="15" customHeight="1" x14ac:dyDescent="0.25">
      <c r="A14" s="73"/>
      <c r="B14" s="773"/>
      <c r="C14" s="773"/>
      <c r="D14" s="774"/>
      <c r="E14" s="763" t="s">
        <v>111</v>
      </c>
      <c r="F14" s="764"/>
      <c r="G14" s="764"/>
      <c r="H14" s="764"/>
      <c r="I14" s="764"/>
      <c r="J14" s="741" t="str">
        <f>IF(AND('Administrativo '!$H$10="Alta",'Administrativo '!$L$10="Leve"),CONCATENATE("R",'Administrativo '!$A$10),"")</f>
        <v/>
      </c>
      <c r="K14" s="742"/>
      <c r="L14" s="742" t="e">
        <f>IF(AND('Administrativo '!#REF!="Alta",'Administrativo '!#REF!="Leve"),CONCATENATE("R",'Administrativo '!#REF!),"")</f>
        <v>#REF!</v>
      </c>
      <c r="M14" s="742"/>
      <c r="N14" s="742" t="e">
        <f>IF(AND('Administrativo '!#REF!="Alta",'Administrativo '!#REF!="Leve"),CONCATENATE("R",'Administrativo '!#REF!),"")</f>
        <v>#REF!</v>
      </c>
      <c r="O14" s="743"/>
      <c r="P14" s="741" t="str">
        <f>IF(AND('Administrativo '!$H$10="Alta",'Administrativo '!$L$10="Menor"),CONCATENATE("R",'Administrativo '!$A$10),"")</f>
        <v>R1</v>
      </c>
      <c r="Q14" s="742"/>
      <c r="R14" s="742" t="e">
        <f>IF(AND('Administrativo '!#REF!="Alta",'Administrativo '!#REF!="Menor"),CONCATENATE("R",'Administrativo '!#REF!),"")</f>
        <v>#REF!</v>
      </c>
      <c r="S14" s="742"/>
      <c r="T14" s="742" t="e">
        <f>IF(AND('Administrativo '!#REF!="Alta",'Administrativo '!#REF!="Menor"),CONCATENATE("R",'Administrativo '!#REF!),"")</f>
        <v>#REF!</v>
      </c>
      <c r="U14" s="743"/>
      <c r="V14" s="759" t="str">
        <f>IF(AND('Administrativo '!$H$10="Alta",'Administrativo '!$L$10="Moderado"),CONCATENATE("R",'Administrativo '!$A$10),"")</f>
        <v/>
      </c>
      <c r="W14" s="760"/>
      <c r="X14" s="760" t="e">
        <f>IF(AND('Administrativo '!#REF!="Alta",'Administrativo '!#REF!="Moderado"),CONCATENATE("R",'Administrativo '!#REF!),"")</f>
        <v>#REF!</v>
      </c>
      <c r="Y14" s="760"/>
      <c r="Z14" s="760" t="e">
        <f>IF(AND('Administrativo '!#REF!="Alta",'Administrativo '!#REF!="Moderado"),CONCATENATE("R",'Administrativo '!#REF!),"")</f>
        <v>#REF!</v>
      </c>
      <c r="AA14" s="761"/>
      <c r="AB14" s="759" t="str">
        <f>IF(AND('Administrativo '!$H$10="Alta",'Administrativo '!$L$10="Mayor"),CONCATENATE("R",'Administrativo '!$A$10),"")</f>
        <v/>
      </c>
      <c r="AC14" s="760"/>
      <c r="AD14" s="760" t="e">
        <f>IF(AND('Administrativo '!#REF!="Alta",'Administrativo '!#REF!="Mayor"),CONCATENATE("R",'Administrativo '!#REF!),"")</f>
        <v>#REF!</v>
      </c>
      <c r="AE14" s="760"/>
      <c r="AF14" s="760" t="e">
        <f>IF(AND('Administrativo '!#REF!="Alta",'Administrativo '!#REF!="Mayor"),CONCATENATE("R",'Administrativo '!#REF!),"")</f>
        <v>#REF!</v>
      </c>
      <c r="AG14" s="761"/>
      <c r="AH14" s="750" t="str">
        <f>IF(AND('Administrativo '!$H$10="Alta",'Administrativo '!$L$10="Catastrófico"),CONCATENATE("R",'Administrativo '!$A$10),"")</f>
        <v/>
      </c>
      <c r="AI14" s="751"/>
      <c r="AJ14" s="751" t="e">
        <f>IF(AND('Administrativo '!#REF!="Alta",'Administrativo '!#REF!="Catastrófico"),CONCATENATE("R",'Administrativo '!#REF!),"")</f>
        <v>#REF!</v>
      </c>
      <c r="AK14" s="751"/>
      <c r="AL14" s="751" t="e">
        <f>IF(AND('Administrativo '!#REF!="Alta",'Administrativo '!#REF!="Catastrófico"),CONCATENATE("R",'Administrativo '!#REF!),"")</f>
        <v>#REF!</v>
      </c>
      <c r="AM14" s="752"/>
      <c r="AN14" s="73"/>
      <c r="AO14" s="784" t="s">
        <v>112</v>
      </c>
      <c r="AP14" s="785"/>
      <c r="AQ14" s="785"/>
      <c r="AR14" s="785"/>
      <c r="AS14" s="785"/>
      <c r="AT14" s="786"/>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row>
    <row r="15" spans="1:99" ht="15" customHeight="1" x14ac:dyDescent="0.25">
      <c r="A15" s="73"/>
      <c r="B15" s="773"/>
      <c r="C15" s="773"/>
      <c r="D15" s="774"/>
      <c r="E15" s="766"/>
      <c r="F15" s="767"/>
      <c r="G15" s="767"/>
      <c r="H15" s="767"/>
      <c r="I15" s="767"/>
      <c r="J15" s="735"/>
      <c r="K15" s="736"/>
      <c r="L15" s="736"/>
      <c r="M15" s="736"/>
      <c r="N15" s="736"/>
      <c r="O15" s="737"/>
      <c r="P15" s="735"/>
      <c r="Q15" s="736"/>
      <c r="R15" s="736"/>
      <c r="S15" s="736"/>
      <c r="T15" s="736"/>
      <c r="U15" s="737"/>
      <c r="V15" s="753"/>
      <c r="W15" s="754"/>
      <c r="X15" s="754"/>
      <c r="Y15" s="754"/>
      <c r="Z15" s="754"/>
      <c r="AA15" s="755"/>
      <c r="AB15" s="753"/>
      <c r="AC15" s="754"/>
      <c r="AD15" s="754"/>
      <c r="AE15" s="754"/>
      <c r="AF15" s="754"/>
      <c r="AG15" s="755"/>
      <c r="AH15" s="744"/>
      <c r="AI15" s="745"/>
      <c r="AJ15" s="745"/>
      <c r="AK15" s="745"/>
      <c r="AL15" s="745"/>
      <c r="AM15" s="746"/>
      <c r="AN15" s="73"/>
      <c r="AO15" s="787"/>
      <c r="AP15" s="788"/>
      <c r="AQ15" s="788"/>
      <c r="AR15" s="788"/>
      <c r="AS15" s="788"/>
      <c r="AT15" s="789"/>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row>
    <row r="16" spans="1:99" ht="15" customHeight="1" x14ac:dyDescent="0.25">
      <c r="A16" s="73"/>
      <c r="B16" s="773"/>
      <c r="C16" s="773"/>
      <c r="D16" s="774"/>
      <c r="E16" s="766"/>
      <c r="F16" s="767"/>
      <c r="G16" s="767"/>
      <c r="H16" s="767"/>
      <c r="I16" s="767"/>
      <c r="J16" s="735" t="e">
        <f>IF(AND('Administrativo '!#REF!="Alta",'Administrativo '!#REF!="Leve"),CONCATENATE("R",'Administrativo '!#REF!),"")</f>
        <v>#REF!</v>
      </c>
      <c r="K16" s="736"/>
      <c r="L16" s="736" t="e">
        <f>IF(AND('Administrativo '!#REF!="Alta",'Administrativo '!#REF!="Leve"),CONCATENATE("R",'Administrativo '!#REF!),"")</f>
        <v>#REF!</v>
      </c>
      <c r="M16" s="736"/>
      <c r="N16" s="736" t="e">
        <f>IF(AND('Administrativo '!#REF!="Alta",'Administrativo '!#REF!="Leve"),CONCATENATE("R",'Administrativo '!#REF!),"")</f>
        <v>#REF!</v>
      </c>
      <c r="O16" s="737"/>
      <c r="P16" s="735" t="e">
        <f>IF(AND('Administrativo '!#REF!="Alta",'Administrativo '!#REF!="Menor"),CONCATENATE("R",'Administrativo '!#REF!),"")</f>
        <v>#REF!</v>
      </c>
      <c r="Q16" s="736"/>
      <c r="R16" s="736" t="e">
        <f>IF(AND('Administrativo '!#REF!="Alta",'Administrativo '!#REF!="Menor"),CONCATENATE("R",'Administrativo '!#REF!),"")</f>
        <v>#REF!</v>
      </c>
      <c r="S16" s="736"/>
      <c r="T16" s="736" t="e">
        <f>IF(AND('Administrativo '!#REF!="Alta",'Administrativo '!#REF!="Menor"),CONCATENATE("R",'Administrativo '!#REF!),"")</f>
        <v>#REF!</v>
      </c>
      <c r="U16" s="737"/>
      <c r="V16" s="753" t="e">
        <f>IF(AND('Administrativo '!#REF!="Alta",'Administrativo '!#REF!="Moderado"),CONCATENATE("R",'Administrativo '!#REF!),"")</f>
        <v>#REF!</v>
      </c>
      <c r="W16" s="754"/>
      <c r="X16" s="754" t="e">
        <f>IF(AND('Administrativo '!#REF!="Alta",'Administrativo '!#REF!="Moderado"),CONCATENATE("R",'Administrativo '!#REF!),"")</f>
        <v>#REF!</v>
      </c>
      <c r="Y16" s="754"/>
      <c r="Z16" s="754" t="e">
        <f>IF(AND('Administrativo '!#REF!="Alta",'Administrativo '!#REF!="Moderado"),CONCATENATE("R",'Administrativo '!#REF!),"")</f>
        <v>#REF!</v>
      </c>
      <c r="AA16" s="755"/>
      <c r="AB16" s="753" t="e">
        <f>IF(AND('Administrativo '!#REF!="Alta",'Administrativo '!#REF!="Mayor"),CONCATENATE("R",'Administrativo '!#REF!),"")</f>
        <v>#REF!</v>
      </c>
      <c r="AC16" s="754"/>
      <c r="AD16" s="754" t="e">
        <f>IF(AND('Administrativo '!#REF!="Alta",'Administrativo '!#REF!="Mayor"),CONCATENATE("R",'Administrativo '!#REF!),"")</f>
        <v>#REF!</v>
      </c>
      <c r="AE16" s="754"/>
      <c r="AF16" s="754" t="e">
        <f>IF(AND('Administrativo '!#REF!="Alta",'Administrativo '!#REF!="Mayor"),CONCATENATE("R",'Administrativo '!#REF!),"")</f>
        <v>#REF!</v>
      </c>
      <c r="AG16" s="755"/>
      <c r="AH16" s="744" t="e">
        <f>IF(AND('Administrativo '!#REF!="Alta",'Administrativo '!#REF!="Catastrófico"),CONCATENATE("R",'Administrativo '!#REF!),"")</f>
        <v>#REF!</v>
      </c>
      <c r="AI16" s="745"/>
      <c r="AJ16" s="745" t="e">
        <f>IF(AND('Administrativo '!#REF!="Alta",'Administrativo '!#REF!="Catastrófico"),CONCATENATE("R",'Administrativo '!#REF!),"")</f>
        <v>#REF!</v>
      </c>
      <c r="AK16" s="745"/>
      <c r="AL16" s="745" t="e">
        <f>IF(AND('Administrativo '!#REF!="Alta",'Administrativo '!#REF!="Catastrófico"),CONCATENATE("R",'Administrativo '!#REF!),"")</f>
        <v>#REF!</v>
      </c>
      <c r="AM16" s="746"/>
      <c r="AN16" s="73"/>
      <c r="AO16" s="787"/>
      <c r="AP16" s="788"/>
      <c r="AQ16" s="788"/>
      <c r="AR16" s="788"/>
      <c r="AS16" s="788"/>
      <c r="AT16" s="789"/>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row>
    <row r="17" spans="1:80" ht="15" customHeight="1" x14ac:dyDescent="0.25">
      <c r="A17" s="73"/>
      <c r="B17" s="773"/>
      <c r="C17" s="773"/>
      <c r="D17" s="774"/>
      <c r="E17" s="766"/>
      <c r="F17" s="767"/>
      <c r="G17" s="767"/>
      <c r="H17" s="767"/>
      <c r="I17" s="767"/>
      <c r="J17" s="735"/>
      <c r="K17" s="736"/>
      <c r="L17" s="736"/>
      <c r="M17" s="736"/>
      <c r="N17" s="736"/>
      <c r="O17" s="737"/>
      <c r="P17" s="735"/>
      <c r="Q17" s="736"/>
      <c r="R17" s="736"/>
      <c r="S17" s="736"/>
      <c r="T17" s="736"/>
      <c r="U17" s="737"/>
      <c r="V17" s="753"/>
      <c r="W17" s="754"/>
      <c r="X17" s="754"/>
      <c r="Y17" s="754"/>
      <c r="Z17" s="754"/>
      <c r="AA17" s="755"/>
      <c r="AB17" s="753"/>
      <c r="AC17" s="754"/>
      <c r="AD17" s="754"/>
      <c r="AE17" s="754"/>
      <c r="AF17" s="754"/>
      <c r="AG17" s="755"/>
      <c r="AH17" s="744"/>
      <c r="AI17" s="745"/>
      <c r="AJ17" s="745"/>
      <c r="AK17" s="745"/>
      <c r="AL17" s="745"/>
      <c r="AM17" s="746"/>
      <c r="AN17" s="73"/>
      <c r="AO17" s="787"/>
      <c r="AP17" s="788"/>
      <c r="AQ17" s="788"/>
      <c r="AR17" s="788"/>
      <c r="AS17" s="788"/>
      <c r="AT17" s="789"/>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row>
    <row r="18" spans="1:80" ht="15" customHeight="1" x14ac:dyDescent="0.25">
      <c r="A18" s="73"/>
      <c r="B18" s="773"/>
      <c r="C18" s="773"/>
      <c r="D18" s="774"/>
      <c r="E18" s="766"/>
      <c r="F18" s="767"/>
      <c r="G18" s="767"/>
      <c r="H18" s="767"/>
      <c r="I18" s="767"/>
      <c r="J18" s="735" t="e">
        <f>IF(AND('Administrativo '!#REF!="Alta",'Administrativo '!#REF!="Leve"),CONCATENATE("R",'Administrativo '!#REF!),"")</f>
        <v>#REF!</v>
      </c>
      <c r="K18" s="736"/>
      <c r="L18" s="736" t="e">
        <f>IF(AND('Administrativo '!#REF!="Alta",'Administrativo '!#REF!="Leve"),CONCATENATE("R",'Administrativo '!#REF!),"")</f>
        <v>#REF!</v>
      </c>
      <c r="M18" s="736"/>
      <c r="N18" s="736" t="e">
        <f>IF(AND('Administrativo '!#REF!="Alta",'Administrativo '!#REF!="Leve"),CONCATENATE("R",'Administrativo '!#REF!),"")</f>
        <v>#REF!</v>
      </c>
      <c r="O18" s="737"/>
      <c r="P18" s="735" t="e">
        <f>IF(AND('Administrativo '!#REF!="Alta",'Administrativo '!#REF!="Menor"),CONCATENATE("R",'Administrativo '!#REF!),"")</f>
        <v>#REF!</v>
      </c>
      <c r="Q18" s="736"/>
      <c r="R18" s="736" t="e">
        <f>IF(AND('Administrativo '!#REF!="Alta",'Administrativo '!#REF!="Menor"),CONCATENATE("R",'Administrativo '!#REF!),"")</f>
        <v>#REF!</v>
      </c>
      <c r="S18" s="736"/>
      <c r="T18" s="736" t="e">
        <f>IF(AND('Administrativo '!#REF!="Alta",'Administrativo '!#REF!="Menor"),CONCATENATE("R",'Administrativo '!#REF!),"")</f>
        <v>#REF!</v>
      </c>
      <c r="U18" s="737"/>
      <c r="V18" s="753" t="e">
        <f>IF(AND('Administrativo '!#REF!="Alta",'Administrativo '!#REF!="Moderado"),CONCATENATE("R",'Administrativo '!#REF!),"")</f>
        <v>#REF!</v>
      </c>
      <c r="W18" s="754"/>
      <c r="X18" s="754" t="e">
        <f>IF(AND('Administrativo '!#REF!="Alta",'Administrativo '!#REF!="Moderado"),CONCATENATE("R",'Administrativo '!#REF!),"")</f>
        <v>#REF!</v>
      </c>
      <c r="Y18" s="754"/>
      <c r="Z18" s="754" t="e">
        <f>IF(AND('Administrativo '!#REF!="Alta",'Administrativo '!#REF!="Moderado"),CONCATENATE("R",'Administrativo '!#REF!),"")</f>
        <v>#REF!</v>
      </c>
      <c r="AA18" s="755"/>
      <c r="AB18" s="753" t="e">
        <f>IF(AND('Administrativo '!#REF!="Alta",'Administrativo '!#REF!="Mayor"),CONCATENATE("R",'Administrativo '!#REF!),"")</f>
        <v>#REF!</v>
      </c>
      <c r="AC18" s="754"/>
      <c r="AD18" s="754" t="e">
        <f>IF(AND('Administrativo '!#REF!="Alta",'Administrativo '!#REF!="Mayor"),CONCATENATE("R",'Administrativo '!#REF!),"")</f>
        <v>#REF!</v>
      </c>
      <c r="AE18" s="754"/>
      <c r="AF18" s="754" t="e">
        <f>IF(AND('Administrativo '!#REF!="Alta",'Administrativo '!#REF!="Mayor"),CONCATENATE("R",'Administrativo '!#REF!),"")</f>
        <v>#REF!</v>
      </c>
      <c r="AG18" s="755"/>
      <c r="AH18" s="744" t="e">
        <f>IF(AND('Administrativo '!#REF!="Alta",'Administrativo '!#REF!="Catastrófico"),CONCATENATE("R",'Administrativo '!#REF!),"")</f>
        <v>#REF!</v>
      </c>
      <c r="AI18" s="745"/>
      <c r="AJ18" s="745" t="e">
        <f>IF(AND('Administrativo '!#REF!="Alta",'Administrativo '!#REF!="Catastrófico"),CONCATENATE("R",'Administrativo '!#REF!),"")</f>
        <v>#REF!</v>
      </c>
      <c r="AK18" s="745"/>
      <c r="AL18" s="745" t="e">
        <f>IF(AND('Administrativo '!#REF!="Alta",'Administrativo '!#REF!="Catastrófico"),CONCATENATE("R",'Administrativo '!#REF!),"")</f>
        <v>#REF!</v>
      </c>
      <c r="AM18" s="746"/>
      <c r="AN18" s="73"/>
      <c r="AO18" s="787"/>
      <c r="AP18" s="788"/>
      <c r="AQ18" s="788"/>
      <c r="AR18" s="788"/>
      <c r="AS18" s="788"/>
      <c r="AT18" s="789"/>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row>
    <row r="19" spans="1:80" ht="15" customHeight="1" x14ac:dyDescent="0.25">
      <c r="A19" s="73"/>
      <c r="B19" s="773"/>
      <c r="C19" s="773"/>
      <c r="D19" s="774"/>
      <c r="E19" s="766"/>
      <c r="F19" s="767"/>
      <c r="G19" s="767"/>
      <c r="H19" s="767"/>
      <c r="I19" s="767"/>
      <c r="J19" s="735"/>
      <c r="K19" s="736"/>
      <c r="L19" s="736"/>
      <c r="M19" s="736"/>
      <c r="N19" s="736"/>
      <c r="O19" s="737"/>
      <c r="P19" s="735"/>
      <c r="Q19" s="736"/>
      <c r="R19" s="736"/>
      <c r="S19" s="736"/>
      <c r="T19" s="736"/>
      <c r="U19" s="737"/>
      <c r="V19" s="753"/>
      <c r="W19" s="754"/>
      <c r="X19" s="754"/>
      <c r="Y19" s="754"/>
      <c r="Z19" s="754"/>
      <c r="AA19" s="755"/>
      <c r="AB19" s="753"/>
      <c r="AC19" s="754"/>
      <c r="AD19" s="754"/>
      <c r="AE19" s="754"/>
      <c r="AF19" s="754"/>
      <c r="AG19" s="755"/>
      <c r="AH19" s="744"/>
      <c r="AI19" s="745"/>
      <c r="AJ19" s="745"/>
      <c r="AK19" s="745"/>
      <c r="AL19" s="745"/>
      <c r="AM19" s="746"/>
      <c r="AN19" s="73"/>
      <c r="AO19" s="787"/>
      <c r="AP19" s="788"/>
      <c r="AQ19" s="788"/>
      <c r="AR19" s="788"/>
      <c r="AS19" s="788"/>
      <c r="AT19" s="789"/>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row>
    <row r="20" spans="1:80" ht="15" customHeight="1" x14ac:dyDescent="0.25">
      <c r="A20" s="73"/>
      <c r="B20" s="773"/>
      <c r="C20" s="773"/>
      <c r="D20" s="774"/>
      <c r="E20" s="766"/>
      <c r="F20" s="767"/>
      <c r="G20" s="767"/>
      <c r="H20" s="767"/>
      <c r="I20" s="767"/>
      <c r="J20" s="735" t="e">
        <f>IF(AND('Administrativo '!#REF!="Alta",'Administrativo '!#REF!="Leve"),CONCATENATE("R",'Administrativo '!#REF!),"")</f>
        <v>#REF!</v>
      </c>
      <c r="K20" s="736"/>
      <c r="L20" s="736" t="str">
        <f>IF(AND('Administrativo '!$H$14="Alta",'Administrativo '!$L$14="Leve"),CONCATENATE("R",'Administrativo '!$A$14),"")</f>
        <v/>
      </c>
      <c r="M20" s="736"/>
      <c r="N20" s="736" t="str">
        <f>IF(AND('Administrativo '!$H$20="Alta",'Administrativo '!$L$20="Leve"),CONCATENATE("R",'Administrativo '!$A$20),"")</f>
        <v/>
      </c>
      <c r="O20" s="737"/>
      <c r="P20" s="735" t="e">
        <f>IF(AND('Administrativo '!#REF!="Alta",'Administrativo '!#REF!="Menor"),CONCATENATE("R",'Administrativo '!#REF!),"")</f>
        <v>#REF!</v>
      </c>
      <c r="Q20" s="736"/>
      <c r="R20" s="736" t="str">
        <f>IF(AND('Administrativo '!$H$14="Alta",'Administrativo '!$L$14="Menor"),CONCATENATE("R",'Administrativo '!$A$14),"")</f>
        <v/>
      </c>
      <c r="S20" s="736"/>
      <c r="T20" s="736" t="str">
        <f>IF(AND('Administrativo '!$H$20="Alta",'Administrativo '!$L$20="Menor"),CONCATENATE("R",'Administrativo '!$A$20),"")</f>
        <v/>
      </c>
      <c r="U20" s="737"/>
      <c r="V20" s="753" t="e">
        <f>IF(AND('Administrativo '!#REF!="Alta",'Administrativo '!#REF!="Moderado"),CONCATENATE("R",'Administrativo '!#REF!),"")</f>
        <v>#REF!</v>
      </c>
      <c r="W20" s="754"/>
      <c r="X20" s="754" t="str">
        <f>IF(AND('Administrativo '!$H$14="Alta",'Administrativo '!$L$14="Moderado"),CONCATENATE("R",'Administrativo '!$A$14),"")</f>
        <v/>
      </c>
      <c r="Y20" s="754"/>
      <c r="Z20" s="754" t="str">
        <f>IF(AND('Administrativo '!$H$20="Alta",'Administrativo '!$L$20="Moderado"),CONCATENATE("R",'Administrativo '!$A$20),"")</f>
        <v/>
      </c>
      <c r="AA20" s="755"/>
      <c r="AB20" s="753" t="e">
        <f>IF(AND('Administrativo '!#REF!="Alta",'Administrativo '!#REF!="Mayor"),CONCATENATE("R",'Administrativo '!#REF!),"")</f>
        <v>#REF!</v>
      </c>
      <c r="AC20" s="754"/>
      <c r="AD20" s="754" t="str">
        <f>IF(AND('Administrativo '!$H$14="Alta",'Administrativo '!$L$14="Mayor"),CONCATENATE("R",'Administrativo '!$A$14),"")</f>
        <v/>
      </c>
      <c r="AE20" s="754"/>
      <c r="AF20" s="754" t="str">
        <f>IF(AND('Administrativo '!$H$20="Alta",'Administrativo '!$L$20="Mayor"),CONCATENATE("R",'Administrativo '!$A$20),"")</f>
        <v/>
      </c>
      <c r="AG20" s="755"/>
      <c r="AH20" s="744" t="e">
        <f>IF(AND('Administrativo '!#REF!="Alta",'Administrativo '!#REF!="Catastrófico"),CONCATENATE("R",'Administrativo '!#REF!),"")</f>
        <v>#REF!</v>
      </c>
      <c r="AI20" s="745"/>
      <c r="AJ20" s="745" t="str">
        <f>IF(AND('Administrativo '!$H$14="Alta",'Administrativo '!$L$14="Catastrófico"),CONCATENATE("R",'Administrativo '!$A$14),"")</f>
        <v/>
      </c>
      <c r="AK20" s="745"/>
      <c r="AL20" s="745" t="str">
        <f>IF(AND('Administrativo '!$H$20="Alta",'Administrativo '!$L$20="Catastrófico"),CONCATENATE("R",'Administrativo '!$A$20),"")</f>
        <v/>
      </c>
      <c r="AM20" s="746"/>
      <c r="AN20" s="73"/>
      <c r="AO20" s="787"/>
      <c r="AP20" s="788"/>
      <c r="AQ20" s="788"/>
      <c r="AR20" s="788"/>
      <c r="AS20" s="788"/>
      <c r="AT20" s="789"/>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row>
    <row r="21" spans="1:80" ht="15.75" customHeight="1" thickBot="1" x14ac:dyDescent="0.3">
      <c r="A21" s="73"/>
      <c r="B21" s="773"/>
      <c r="C21" s="773"/>
      <c r="D21" s="774"/>
      <c r="E21" s="769"/>
      <c r="F21" s="770"/>
      <c r="G21" s="770"/>
      <c r="H21" s="770"/>
      <c r="I21" s="770"/>
      <c r="J21" s="738"/>
      <c r="K21" s="739"/>
      <c r="L21" s="739"/>
      <c r="M21" s="739"/>
      <c r="N21" s="739"/>
      <c r="O21" s="740"/>
      <c r="P21" s="738"/>
      <c r="Q21" s="739"/>
      <c r="R21" s="739"/>
      <c r="S21" s="739"/>
      <c r="T21" s="739"/>
      <c r="U21" s="740"/>
      <c r="V21" s="756"/>
      <c r="W21" s="757"/>
      <c r="X21" s="757"/>
      <c r="Y21" s="757"/>
      <c r="Z21" s="757"/>
      <c r="AA21" s="758"/>
      <c r="AB21" s="756"/>
      <c r="AC21" s="757"/>
      <c r="AD21" s="757"/>
      <c r="AE21" s="757"/>
      <c r="AF21" s="757"/>
      <c r="AG21" s="758"/>
      <c r="AH21" s="747"/>
      <c r="AI21" s="748"/>
      <c r="AJ21" s="748"/>
      <c r="AK21" s="748"/>
      <c r="AL21" s="748"/>
      <c r="AM21" s="749"/>
      <c r="AN21" s="73"/>
      <c r="AO21" s="790"/>
      <c r="AP21" s="791"/>
      <c r="AQ21" s="791"/>
      <c r="AR21" s="791"/>
      <c r="AS21" s="791"/>
      <c r="AT21" s="792"/>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73"/>
    </row>
    <row r="22" spans="1:80" x14ac:dyDescent="0.25">
      <c r="A22" s="73"/>
      <c r="B22" s="773"/>
      <c r="C22" s="773"/>
      <c r="D22" s="774"/>
      <c r="E22" s="763" t="s">
        <v>113</v>
      </c>
      <c r="F22" s="764"/>
      <c r="G22" s="764"/>
      <c r="H22" s="764"/>
      <c r="I22" s="765"/>
      <c r="J22" s="741" t="str">
        <f>IF(AND('Administrativo '!$H$10="Media",'Administrativo '!$L$10="Leve"),CONCATENATE("R",'Administrativo '!$A$10),"")</f>
        <v/>
      </c>
      <c r="K22" s="742"/>
      <c r="L22" s="742" t="e">
        <f>IF(AND('Administrativo '!#REF!="Media",'Administrativo '!#REF!="Leve"),CONCATENATE("R",'Administrativo '!#REF!),"")</f>
        <v>#REF!</v>
      </c>
      <c r="M22" s="742"/>
      <c r="N22" s="742" t="e">
        <f>IF(AND('Administrativo '!#REF!="Media",'Administrativo '!#REF!="Leve"),CONCATENATE("R",'Administrativo '!#REF!),"")</f>
        <v>#REF!</v>
      </c>
      <c r="O22" s="743"/>
      <c r="P22" s="741" t="str">
        <f>IF(AND('Administrativo '!$H$10="Media",'Administrativo '!$L$10="Menor"),CONCATENATE("R",'Administrativo '!$A$10),"")</f>
        <v/>
      </c>
      <c r="Q22" s="742"/>
      <c r="R22" s="742" t="e">
        <f>IF(AND('Administrativo '!#REF!="Media",'Administrativo '!#REF!="Menor"),CONCATENATE("R",'Administrativo '!#REF!),"")</f>
        <v>#REF!</v>
      </c>
      <c r="S22" s="742"/>
      <c r="T22" s="742" t="e">
        <f>IF(AND('Administrativo '!#REF!="Media",'Administrativo '!#REF!="Menor"),CONCATENATE("R",'Administrativo '!#REF!),"")</f>
        <v>#REF!</v>
      </c>
      <c r="U22" s="743"/>
      <c r="V22" s="741" t="str">
        <f>IF(AND('Administrativo '!$H$10="Media",'Administrativo '!$L$10="Moderado"),CONCATENATE("R",'Administrativo '!$A$10),"")</f>
        <v/>
      </c>
      <c r="W22" s="742"/>
      <c r="X22" s="742" t="e">
        <f>IF(AND('Administrativo '!#REF!="Media",'Administrativo '!#REF!="Moderado"),CONCATENATE("R",'Administrativo '!#REF!),"")</f>
        <v>#REF!</v>
      </c>
      <c r="Y22" s="742"/>
      <c r="Z22" s="742" t="e">
        <f>IF(AND('Administrativo '!#REF!="Media",'Administrativo '!#REF!="Moderado"),CONCATENATE("R",'Administrativo '!#REF!),"")</f>
        <v>#REF!</v>
      </c>
      <c r="AA22" s="743"/>
      <c r="AB22" s="759" t="str">
        <f>IF(AND('Administrativo '!$H$10="Media",'Administrativo '!$L$10="Mayor"),CONCATENATE("R",'Administrativo '!$A$10),"")</f>
        <v/>
      </c>
      <c r="AC22" s="760"/>
      <c r="AD22" s="760" t="e">
        <f>IF(AND('Administrativo '!#REF!="Media",'Administrativo '!#REF!="Mayor"),CONCATENATE("R",'Administrativo '!#REF!),"")</f>
        <v>#REF!</v>
      </c>
      <c r="AE22" s="760"/>
      <c r="AF22" s="760" t="e">
        <f>IF(AND('Administrativo '!#REF!="Media",'Administrativo '!#REF!="Mayor"),CONCATENATE("R",'Administrativo '!#REF!),"")</f>
        <v>#REF!</v>
      </c>
      <c r="AG22" s="761"/>
      <c r="AH22" s="750" t="str">
        <f>IF(AND('Administrativo '!$H$10="Media",'Administrativo '!$L$10="Catastrófico"),CONCATENATE("R",'Administrativo '!$A$10),"")</f>
        <v/>
      </c>
      <c r="AI22" s="751"/>
      <c r="AJ22" s="751" t="e">
        <f>IF(AND('Administrativo '!#REF!="Media",'Administrativo '!#REF!="Catastrófico"),CONCATENATE("R",'Administrativo '!#REF!),"")</f>
        <v>#REF!</v>
      </c>
      <c r="AK22" s="751"/>
      <c r="AL22" s="751" t="e">
        <f>IF(AND('Administrativo '!#REF!="Media",'Administrativo '!#REF!="Catastrófico"),CONCATENATE("R",'Administrativo '!#REF!),"")</f>
        <v>#REF!</v>
      </c>
      <c r="AM22" s="752"/>
      <c r="AN22" s="73"/>
      <c r="AO22" s="793" t="s">
        <v>114</v>
      </c>
      <c r="AP22" s="794"/>
      <c r="AQ22" s="794"/>
      <c r="AR22" s="794"/>
      <c r="AS22" s="794"/>
      <c r="AT22" s="795"/>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row>
    <row r="23" spans="1:80" x14ac:dyDescent="0.25">
      <c r="A23" s="73"/>
      <c r="B23" s="773"/>
      <c r="C23" s="773"/>
      <c r="D23" s="774"/>
      <c r="E23" s="766"/>
      <c r="F23" s="767"/>
      <c r="G23" s="767"/>
      <c r="H23" s="767"/>
      <c r="I23" s="768"/>
      <c r="J23" s="735"/>
      <c r="K23" s="736"/>
      <c r="L23" s="736"/>
      <c r="M23" s="736"/>
      <c r="N23" s="736"/>
      <c r="O23" s="737"/>
      <c r="P23" s="735"/>
      <c r="Q23" s="736"/>
      <c r="R23" s="736"/>
      <c r="S23" s="736"/>
      <c r="T23" s="736"/>
      <c r="U23" s="737"/>
      <c r="V23" s="735"/>
      <c r="W23" s="736"/>
      <c r="X23" s="736"/>
      <c r="Y23" s="736"/>
      <c r="Z23" s="736"/>
      <c r="AA23" s="737"/>
      <c r="AB23" s="753"/>
      <c r="AC23" s="754"/>
      <c r="AD23" s="754"/>
      <c r="AE23" s="754"/>
      <c r="AF23" s="754"/>
      <c r="AG23" s="755"/>
      <c r="AH23" s="744"/>
      <c r="AI23" s="745"/>
      <c r="AJ23" s="745"/>
      <c r="AK23" s="745"/>
      <c r="AL23" s="745"/>
      <c r="AM23" s="746"/>
      <c r="AN23" s="73"/>
      <c r="AO23" s="796"/>
      <c r="AP23" s="797"/>
      <c r="AQ23" s="797"/>
      <c r="AR23" s="797"/>
      <c r="AS23" s="797"/>
      <c r="AT23" s="798"/>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73"/>
    </row>
    <row r="24" spans="1:80" x14ac:dyDescent="0.25">
      <c r="A24" s="73"/>
      <c r="B24" s="773"/>
      <c r="C24" s="773"/>
      <c r="D24" s="774"/>
      <c r="E24" s="766"/>
      <c r="F24" s="767"/>
      <c r="G24" s="767"/>
      <c r="H24" s="767"/>
      <c r="I24" s="768"/>
      <c r="J24" s="735" t="e">
        <f>IF(AND('Administrativo '!#REF!="Media",'Administrativo '!#REF!="Leve"),CONCATENATE("R",'Administrativo '!#REF!),"")</f>
        <v>#REF!</v>
      </c>
      <c r="K24" s="736"/>
      <c r="L24" s="736" t="e">
        <f>IF(AND('Administrativo '!#REF!="Media",'Administrativo '!#REF!="Leve"),CONCATENATE("R",'Administrativo '!#REF!),"")</f>
        <v>#REF!</v>
      </c>
      <c r="M24" s="736"/>
      <c r="N24" s="736" t="e">
        <f>IF(AND('Administrativo '!#REF!="Media",'Administrativo '!#REF!="Leve"),CONCATENATE("R",'Administrativo '!#REF!),"")</f>
        <v>#REF!</v>
      </c>
      <c r="O24" s="737"/>
      <c r="P24" s="735" t="e">
        <f>IF(AND('Administrativo '!#REF!="Media",'Administrativo '!#REF!="Menor"),CONCATENATE("R",'Administrativo '!#REF!),"")</f>
        <v>#REF!</v>
      </c>
      <c r="Q24" s="736"/>
      <c r="R24" s="736" t="e">
        <f>IF(AND('Administrativo '!#REF!="Media",'Administrativo '!#REF!="Menor"),CONCATENATE("R",'Administrativo '!#REF!),"")</f>
        <v>#REF!</v>
      </c>
      <c r="S24" s="736"/>
      <c r="T24" s="736" t="e">
        <f>IF(AND('Administrativo '!#REF!="Media",'Administrativo '!#REF!="Menor"),CONCATENATE("R",'Administrativo '!#REF!),"")</f>
        <v>#REF!</v>
      </c>
      <c r="U24" s="737"/>
      <c r="V24" s="735" t="e">
        <f>IF(AND('Administrativo '!#REF!="Media",'Administrativo '!#REF!="Moderado"),CONCATENATE("R",'Administrativo '!#REF!),"")</f>
        <v>#REF!</v>
      </c>
      <c r="W24" s="736"/>
      <c r="X24" s="736" t="e">
        <f>IF(AND('Administrativo '!#REF!="Media",'Administrativo '!#REF!="Moderado"),CONCATENATE("R",'Administrativo '!#REF!),"")</f>
        <v>#REF!</v>
      </c>
      <c r="Y24" s="736"/>
      <c r="Z24" s="736" t="e">
        <f>IF(AND('Administrativo '!#REF!="Media",'Administrativo '!#REF!="Moderado"),CONCATENATE("R",'Administrativo '!#REF!),"")</f>
        <v>#REF!</v>
      </c>
      <c r="AA24" s="737"/>
      <c r="AB24" s="753" t="e">
        <f>IF(AND('Administrativo '!#REF!="Media",'Administrativo '!#REF!="Mayor"),CONCATENATE("R",'Administrativo '!#REF!),"")</f>
        <v>#REF!</v>
      </c>
      <c r="AC24" s="754"/>
      <c r="AD24" s="754" t="e">
        <f>IF(AND('Administrativo '!#REF!="Media",'Administrativo '!#REF!="Mayor"),CONCATENATE("R",'Administrativo '!#REF!),"")</f>
        <v>#REF!</v>
      </c>
      <c r="AE24" s="754"/>
      <c r="AF24" s="754" t="e">
        <f>IF(AND('Administrativo '!#REF!="Media",'Administrativo '!#REF!="Mayor"),CONCATENATE("R",'Administrativo '!#REF!),"")</f>
        <v>#REF!</v>
      </c>
      <c r="AG24" s="755"/>
      <c r="AH24" s="744" t="e">
        <f>IF(AND('Administrativo '!#REF!="Media",'Administrativo '!#REF!="Catastrófico"),CONCATENATE("R",'Administrativo '!#REF!),"")</f>
        <v>#REF!</v>
      </c>
      <c r="AI24" s="745"/>
      <c r="AJ24" s="745" t="e">
        <f>IF(AND('Administrativo '!#REF!="Media",'Administrativo '!#REF!="Catastrófico"),CONCATENATE("R",'Administrativo '!#REF!),"")</f>
        <v>#REF!</v>
      </c>
      <c r="AK24" s="745"/>
      <c r="AL24" s="745" t="e">
        <f>IF(AND('Administrativo '!#REF!="Media",'Administrativo '!#REF!="Catastrófico"),CONCATENATE("R",'Administrativo '!#REF!),"")</f>
        <v>#REF!</v>
      </c>
      <c r="AM24" s="746"/>
      <c r="AN24" s="73"/>
      <c r="AO24" s="796"/>
      <c r="AP24" s="797"/>
      <c r="AQ24" s="797"/>
      <c r="AR24" s="797"/>
      <c r="AS24" s="797"/>
      <c r="AT24" s="798"/>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row>
    <row r="25" spans="1:80" x14ac:dyDescent="0.25">
      <c r="A25" s="73"/>
      <c r="B25" s="773"/>
      <c r="C25" s="773"/>
      <c r="D25" s="774"/>
      <c r="E25" s="766"/>
      <c r="F25" s="767"/>
      <c r="G25" s="767"/>
      <c r="H25" s="767"/>
      <c r="I25" s="768"/>
      <c r="J25" s="735"/>
      <c r="K25" s="736"/>
      <c r="L25" s="736"/>
      <c r="M25" s="736"/>
      <c r="N25" s="736"/>
      <c r="O25" s="737"/>
      <c r="P25" s="735"/>
      <c r="Q25" s="736"/>
      <c r="R25" s="736"/>
      <c r="S25" s="736"/>
      <c r="T25" s="736"/>
      <c r="U25" s="737"/>
      <c r="V25" s="735"/>
      <c r="W25" s="736"/>
      <c r="X25" s="736"/>
      <c r="Y25" s="736"/>
      <c r="Z25" s="736"/>
      <c r="AA25" s="737"/>
      <c r="AB25" s="753"/>
      <c r="AC25" s="754"/>
      <c r="AD25" s="754"/>
      <c r="AE25" s="754"/>
      <c r="AF25" s="754"/>
      <c r="AG25" s="755"/>
      <c r="AH25" s="744"/>
      <c r="AI25" s="745"/>
      <c r="AJ25" s="745"/>
      <c r="AK25" s="745"/>
      <c r="AL25" s="745"/>
      <c r="AM25" s="746"/>
      <c r="AN25" s="73"/>
      <c r="AO25" s="796"/>
      <c r="AP25" s="797"/>
      <c r="AQ25" s="797"/>
      <c r="AR25" s="797"/>
      <c r="AS25" s="797"/>
      <c r="AT25" s="798"/>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row>
    <row r="26" spans="1:80" x14ac:dyDescent="0.25">
      <c r="A26" s="73"/>
      <c r="B26" s="773"/>
      <c r="C26" s="773"/>
      <c r="D26" s="774"/>
      <c r="E26" s="766"/>
      <c r="F26" s="767"/>
      <c r="G26" s="767"/>
      <c r="H26" s="767"/>
      <c r="I26" s="768"/>
      <c r="J26" s="735" t="e">
        <f>IF(AND('Administrativo '!#REF!="Media",'Administrativo '!#REF!="Leve"),CONCATENATE("R",'Administrativo '!#REF!),"")</f>
        <v>#REF!</v>
      </c>
      <c r="K26" s="736"/>
      <c r="L26" s="736" t="e">
        <f>IF(AND('Administrativo '!#REF!="Media",'Administrativo '!#REF!="Leve"),CONCATENATE("R",'Administrativo '!#REF!),"")</f>
        <v>#REF!</v>
      </c>
      <c r="M26" s="736"/>
      <c r="N26" s="736" t="e">
        <f>IF(AND('Administrativo '!#REF!="Media",'Administrativo '!#REF!="Leve"),CONCATENATE("R",'Administrativo '!#REF!),"")</f>
        <v>#REF!</v>
      </c>
      <c r="O26" s="737"/>
      <c r="P26" s="735" t="e">
        <f>IF(AND('Administrativo '!#REF!="Media",'Administrativo '!#REF!="Menor"),CONCATENATE("R",'Administrativo '!#REF!),"")</f>
        <v>#REF!</v>
      </c>
      <c r="Q26" s="736"/>
      <c r="R26" s="736" t="e">
        <f>IF(AND('Administrativo '!#REF!="Media",'Administrativo '!#REF!="Menor"),CONCATENATE("R",'Administrativo '!#REF!),"")</f>
        <v>#REF!</v>
      </c>
      <c r="S26" s="736"/>
      <c r="T26" s="736" t="e">
        <f>IF(AND('Administrativo '!#REF!="Media",'Administrativo '!#REF!="Menor"),CONCATENATE("R",'Administrativo '!#REF!),"")</f>
        <v>#REF!</v>
      </c>
      <c r="U26" s="737"/>
      <c r="V26" s="735" t="e">
        <f>IF(AND('Administrativo '!#REF!="Media",'Administrativo '!#REF!="Moderado"),CONCATENATE("R",'Administrativo '!#REF!),"")</f>
        <v>#REF!</v>
      </c>
      <c r="W26" s="736"/>
      <c r="X26" s="736" t="e">
        <f>IF(AND('Administrativo '!#REF!="Media",'Administrativo '!#REF!="Moderado"),CONCATENATE("R",'Administrativo '!#REF!),"")</f>
        <v>#REF!</v>
      </c>
      <c r="Y26" s="736"/>
      <c r="Z26" s="736" t="e">
        <f>IF(AND('Administrativo '!#REF!="Media",'Administrativo '!#REF!="Moderado"),CONCATENATE("R",'Administrativo '!#REF!),"")</f>
        <v>#REF!</v>
      </c>
      <c r="AA26" s="737"/>
      <c r="AB26" s="753" t="e">
        <f>IF(AND('Administrativo '!#REF!="Media",'Administrativo '!#REF!="Mayor"),CONCATENATE("R",'Administrativo '!#REF!),"")</f>
        <v>#REF!</v>
      </c>
      <c r="AC26" s="754"/>
      <c r="AD26" s="754" t="e">
        <f>IF(AND('Administrativo '!#REF!="Media",'Administrativo '!#REF!="Mayor"),CONCATENATE("R",'Administrativo '!#REF!),"")</f>
        <v>#REF!</v>
      </c>
      <c r="AE26" s="754"/>
      <c r="AF26" s="754" t="e">
        <f>IF(AND('Administrativo '!#REF!="Media",'Administrativo '!#REF!="Mayor"),CONCATENATE("R",'Administrativo '!#REF!),"")</f>
        <v>#REF!</v>
      </c>
      <c r="AG26" s="755"/>
      <c r="AH26" s="744" t="e">
        <f>IF(AND('Administrativo '!#REF!="Media",'Administrativo '!#REF!="Catastrófico"),CONCATENATE("R",'Administrativo '!#REF!),"")</f>
        <v>#REF!</v>
      </c>
      <c r="AI26" s="745"/>
      <c r="AJ26" s="745" t="e">
        <f>IF(AND('Administrativo '!#REF!="Media",'Administrativo '!#REF!="Catastrófico"),CONCATENATE("R",'Administrativo '!#REF!),"")</f>
        <v>#REF!</v>
      </c>
      <c r="AK26" s="745"/>
      <c r="AL26" s="745" t="e">
        <f>IF(AND('Administrativo '!#REF!="Media",'Administrativo '!#REF!="Catastrófico"),CONCATENATE("R",'Administrativo '!#REF!),"")</f>
        <v>#REF!</v>
      </c>
      <c r="AM26" s="746"/>
      <c r="AN26" s="73"/>
      <c r="AO26" s="796"/>
      <c r="AP26" s="797"/>
      <c r="AQ26" s="797"/>
      <c r="AR26" s="797"/>
      <c r="AS26" s="797"/>
      <c r="AT26" s="798"/>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row>
    <row r="27" spans="1:80" x14ac:dyDescent="0.25">
      <c r="A27" s="73"/>
      <c r="B27" s="773"/>
      <c r="C27" s="773"/>
      <c r="D27" s="774"/>
      <c r="E27" s="766"/>
      <c r="F27" s="767"/>
      <c r="G27" s="767"/>
      <c r="H27" s="767"/>
      <c r="I27" s="768"/>
      <c r="J27" s="735"/>
      <c r="K27" s="736"/>
      <c r="L27" s="736"/>
      <c r="M27" s="736"/>
      <c r="N27" s="736"/>
      <c r="O27" s="737"/>
      <c r="P27" s="735"/>
      <c r="Q27" s="736"/>
      <c r="R27" s="736"/>
      <c r="S27" s="736"/>
      <c r="T27" s="736"/>
      <c r="U27" s="737"/>
      <c r="V27" s="735"/>
      <c r="W27" s="736"/>
      <c r="X27" s="736"/>
      <c r="Y27" s="736"/>
      <c r="Z27" s="736"/>
      <c r="AA27" s="737"/>
      <c r="AB27" s="753"/>
      <c r="AC27" s="754"/>
      <c r="AD27" s="754"/>
      <c r="AE27" s="754"/>
      <c r="AF27" s="754"/>
      <c r="AG27" s="755"/>
      <c r="AH27" s="744"/>
      <c r="AI27" s="745"/>
      <c r="AJ27" s="745"/>
      <c r="AK27" s="745"/>
      <c r="AL27" s="745"/>
      <c r="AM27" s="746"/>
      <c r="AN27" s="73"/>
      <c r="AO27" s="796"/>
      <c r="AP27" s="797"/>
      <c r="AQ27" s="797"/>
      <c r="AR27" s="797"/>
      <c r="AS27" s="797"/>
      <c r="AT27" s="798"/>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row>
    <row r="28" spans="1:80" x14ac:dyDescent="0.25">
      <c r="A28" s="73"/>
      <c r="B28" s="773"/>
      <c r="C28" s="773"/>
      <c r="D28" s="774"/>
      <c r="E28" s="766"/>
      <c r="F28" s="767"/>
      <c r="G28" s="767"/>
      <c r="H28" s="767"/>
      <c r="I28" s="768"/>
      <c r="J28" s="735" t="e">
        <f>IF(AND('Administrativo '!#REF!="Media",'Administrativo '!#REF!="Leve"),CONCATENATE("R",'Administrativo '!#REF!),"")</f>
        <v>#REF!</v>
      </c>
      <c r="K28" s="736"/>
      <c r="L28" s="736" t="str">
        <f>IF(AND('Administrativo '!$H$14="Media",'Administrativo '!$L$14="Leve"),CONCATENATE("R",'Administrativo '!$A$14),"")</f>
        <v/>
      </c>
      <c r="M28" s="736"/>
      <c r="N28" s="736" t="str">
        <f>IF(AND('Administrativo '!$H$20="Media",'Administrativo '!$L$20="Leve"),CONCATENATE("R",'Administrativo '!$A$20),"")</f>
        <v/>
      </c>
      <c r="O28" s="737"/>
      <c r="P28" s="735" t="e">
        <f>IF(AND('Administrativo '!#REF!="Media",'Administrativo '!#REF!="Menor"),CONCATENATE("R",'Administrativo '!#REF!),"")</f>
        <v>#REF!</v>
      </c>
      <c r="Q28" s="736"/>
      <c r="R28" s="736" t="str">
        <f>IF(AND('Administrativo '!$H$14="Media",'Administrativo '!$L$14="Menor"),CONCATENATE("R",'Administrativo '!$A$14),"")</f>
        <v/>
      </c>
      <c r="S28" s="736"/>
      <c r="T28" s="736" t="str">
        <f>IF(AND('Administrativo '!$H$20="Media",'Administrativo '!$L$20="Menor"),CONCATENATE("R",'Administrativo '!$A$20),"")</f>
        <v/>
      </c>
      <c r="U28" s="737"/>
      <c r="V28" s="735" t="e">
        <f>IF(AND('Administrativo '!#REF!="Media",'Administrativo '!#REF!="Moderado"),CONCATENATE("R",'Administrativo '!#REF!),"")</f>
        <v>#REF!</v>
      </c>
      <c r="W28" s="736"/>
      <c r="X28" s="736" t="str">
        <f>IF(AND('Administrativo '!$H$14="Media",'Administrativo '!$L$14="Moderado"),CONCATENATE("R",'Administrativo '!$A$14),"")</f>
        <v/>
      </c>
      <c r="Y28" s="736"/>
      <c r="Z28" s="736" t="str">
        <f>IF(AND('Administrativo '!$H$20="Media",'Administrativo '!$L$20="Moderado"),CONCATENATE("R",'Administrativo '!$A$20),"")</f>
        <v/>
      </c>
      <c r="AA28" s="737"/>
      <c r="AB28" s="753" t="e">
        <f>IF(AND('Administrativo '!#REF!="Media",'Administrativo '!#REF!="Mayor"),CONCATENATE("R",'Administrativo '!#REF!),"")</f>
        <v>#REF!</v>
      </c>
      <c r="AC28" s="754"/>
      <c r="AD28" s="754" t="str">
        <f>IF(AND('Administrativo '!$H$14="Media",'Administrativo '!$L$14="Mayor"),CONCATENATE("R",'Administrativo '!$A$14),"")</f>
        <v/>
      </c>
      <c r="AE28" s="754"/>
      <c r="AF28" s="754" t="str">
        <f>IF(AND('Administrativo '!$H$20="Media",'Administrativo '!$L$20="Mayor"),CONCATENATE("R",'Administrativo '!$A$20),"")</f>
        <v/>
      </c>
      <c r="AG28" s="755"/>
      <c r="AH28" s="744" t="e">
        <f>IF(AND('Administrativo '!#REF!="Media",'Administrativo '!#REF!="Catastrófico"),CONCATENATE("R",'Administrativo '!#REF!),"")</f>
        <v>#REF!</v>
      </c>
      <c r="AI28" s="745"/>
      <c r="AJ28" s="745" t="str">
        <f>IF(AND('Administrativo '!$H$14="Media",'Administrativo '!$L$14="Catastrófico"),CONCATENATE("R",'Administrativo '!$A$14),"")</f>
        <v/>
      </c>
      <c r="AK28" s="745"/>
      <c r="AL28" s="745" t="str">
        <f>IF(AND('Administrativo '!$H$20="Media",'Administrativo '!$L$20="Catastrófico"),CONCATENATE("R",'Administrativo '!$A$20),"")</f>
        <v/>
      </c>
      <c r="AM28" s="746"/>
      <c r="AN28" s="73"/>
      <c r="AO28" s="796"/>
      <c r="AP28" s="797"/>
      <c r="AQ28" s="797"/>
      <c r="AR28" s="797"/>
      <c r="AS28" s="797"/>
      <c r="AT28" s="798"/>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row>
    <row r="29" spans="1:80" ht="15.75" thickBot="1" x14ac:dyDescent="0.3">
      <c r="A29" s="73"/>
      <c r="B29" s="773"/>
      <c r="C29" s="773"/>
      <c r="D29" s="774"/>
      <c r="E29" s="769"/>
      <c r="F29" s="770"/>
      <c r="G29" s="770"/>
      <c r="H29" s="770"/>
      <c r="I29" s="771"/>
      <c r="J29" s="735"/>
      <c r="K29" s="736"/>
      <c r="L29" s="736"/>
      <c r="M29" s="736"/>
      <c r="N29" s="736"/>
      <c r="O29" s="737"/>
      <c r="P29" s="738"/>
      <c r="Q29" s="739"/>
      <c r="R29" s="739"/>
      <c r="S29" s="739"/>
      <c r="T29" s="739"/>
      <c r="U29" s="740"/>
      <c r="V29" s="738"/>
      <c r="W29" s="739"/>
      <c r="X29" s="739"/>
      <c r="Y29" s="739"/>
      <c r="Z29" s="739"/>
      <c r="AA29" s="740"/>
      <c r="AB29" s="756"/>
      <c r="AC29" s="757"/>
      <c r="AD29" s="757"/>
      <c r="AE29" s="757"/>
      <c r="AF29" s="757"/>
      <c r="AG29" s="758"/>
      <c r="AH29" s="747"/>
      <c r="AI29" s="748"/>
      <c r="AJ29" s="748"/>
      <c r="AK29" s="748"/>
      <c r="AL29" s="748"/>
      <c r="AM29" s="749"/>
      <c r="AN29" s="73"/>
      <c r="AO29" s="799"/>
      <c r="AP29" s="800"/>
      <c r="AQ29" s="800"/>
      <c r="AR29" s="800"/>
      <c r="AS29" s="800"/>
      <c r="AT29" s="801"/>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row>
    <row r="30" spans="1:80" x14ac:dyDescent="0.25">
      <c r="A30" s="73"/>
      <c r="B30" s="773"/>
      <c r="C30" s="773"/>
      <c r="D30" s="774"/>
      <c r="E30" s="763" t="s">
        <v>115</v>
      </c>
      <c r="F30" s="764"/>
      <c r="G30" s="764"/>
      <c r="H30" s="764"/>
      <c r="I30" s="764"/>
      <c r="J30" s="732" t="str">
        <f>IF(AND('Administrativo '!$H$10="Baja",'Administrativo '!$L$10="Leve"),CONCATENATE("R",'Administrativo '!$A$10),"")</f>
        <v/>
      </c>
      <c r="K30" s="733"/>
      <c r="L30" s="733" t="e">
        <f>IF(AND('Administrativo '!#REF!="Baja",'Administrativo '!#REF!="Leve"),CONCATENATE("R",'Administrativo '!#REF!),"")</f>
        <v>#REF!</v>
      </c>
      <c r="M30" s="733"/>
      <c r="N30" s="733" t="e">
        <f>IF(AND('Administrativo '!#REF!="Baja",'Administrativo '!#REF!="Leve"),CONCATENATE("R",'Administrativo '!#REF!),"")</f>
        <v>#REF!</v>
      </c>
      <c r="O30" s="734"/>
      <c r="P30" s="742" t="str">
        <f>IF(AND('Administrativo '!$H$10="Baja",'Administrativo '!$L$10="Menor"),CONCATENATE("R",'Administrativo '!$A$10),"")</f>
        <v/>
      </c>
      <c r="Q30" s="742"/>
      <c r="R30" s="742" t="e">
        <f>IF(AND('Administrativo '!#REF!="Baja",'Administrativo '!#REF!="Menor"),CONCATENATE("R",'Administrativo '!#REF!),"")</f>
        <v>#REF!</v>
      </c>
      <c r="S30" s="742"/>
      <c r="T30" s="742" t="e">
        <f>IF(AND('Administrativo '!#REF!="Baja",'Administrativo '!#REF!="Menor"),CONCATENATE("R",'Administrativo '!#REF!),"")</f>
        <v>#REF!</v>
      </c>
      <c r="U30" s="743"/>
      <c r="V30" s="741" t="str">
        <f>IF(AND('Administrativo '!$H$10="Baja",'Administrativo '!$L$10="Moderado"),CONCATENATE("R",'Administrativo '!$A$10),"")</f>
        <v/>
      </c>
      <c r="W30" s="742"/>
      <c r="X30" s="742" t="e">
        <f>IF(AND('Administrativo '!#REF!="Baja",'Administrativo '!#REF!="Moderado"),CONCATENATE("R",'Administrativo '!#REF!),"")</f>
        <v>#REF!</v>
      </c>
      <c r="Y30" s="742"/>
      <c r="Z30" s="742" t="e">
        <f>IF(AND('Administrativo '!#REF!="Baja",'Administrativo '!#REF!="Moderado"),CONCATENATE("R",'Administrativo '!#REF!),"")</f>
        <v>#REF!</v>
      </c>
      <c r="AA30" s="743"/>
      <c r="AB30" s="759" t="str">
        <f>IF(AND('Administrativo '!$H$10="Baja",'Administrativo '!$L$10="Mayor"),CONCATENATE("R",'Administrativo '!$A$10),"")</f>
        <v/>
      </c>
      <c r="AC30" s="760"/>
      <c r="AD30" s="760" t="e">
        <f>IF(AND('Administrativo '!#REF!="Baja",'Administrativo '!#REF!="Mayor"),CONCATENATE("R",'Administrativo '!#REF!),"")</f>
        <v>#REF!</v>
      </c>
      <c r="AE30" s="760"/>
      <c r="AF30" s="760" t="e">
        <f>IF(AND('Administrativo '!#REF!="Baja",'Administrativo '!#REF!="Mayor"),CONCATENATE("R",'Administrativo '!#REF!),"")</f>
        <v>#REF!</v>
      </c>
      <c r="AG30" s="761"/>
      <c r="AH30" s="750" t="str">
        <f>IF(AND('Administrativo '!$H$10="Baja",'Administrativo '!$L$10="Catastrófico"),CONCATENATE("R",'Administrativo '!$A$10),"")</f>
        <v/>
      </c>
      <c r="AI30" s="751"/>
      <c r="AJ30" s="751" t="e">
        <f>IF(AND('Administrativo '!#REF!="Baja",'Administrativo '!#REF!="Catastrófico"),CONCATENATE("R",'Administrativo '!#REF!),"")</f>
        <v>#REF!</v>
      </c>
      <c r="AK30" s="751"/>
      <c r="AL30" s="751" t="e">
        <f>IF(AND('Administrativo '!#REF!="Baja",'Administrativo '!#REF!="Catastrófico"),CONCATENATE("R",'Administrativo '!#REF!),"")</f>
        <v>#REF!</v>
      </c>
      <c r="AM30" s="752"/>
      <c r="AN30" s="73"/>
      <c r="AO30" s="802" t="s">
        <v>116</v>
      </c>
      <c r="AP30" s="803"/>
      <c r="AQ30" s="803"/>
      <c r="AR30" s="803"/>
      <c r="AS30" s="803"/>
      <c r="AT30" s="804"/>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row>
    <row r="31" spans="1:80" x14ac:dyDescent="0.25">
      <c r="A31" s="73"/>
      <c r="B31" s="773"/>
      <c r="C31" s="773"/>
      <c r="D31" s="774"/>
      <c r="E31" s="766"/>
      <c r="F31" s="767"/>
      <c r="G31" s="767"/>
      <c r="H31" s="767"/>
      <c r="I31" s="767"/>
      <c r="J31" s="726"/>
      <c r="K31" s="727"/>
      <c r="L31" s="727"/>
      <c r="M31" s="727"/>
      <c r="N31" s="727"/>
      <c r="O31" s="728"/>
      <c r="P31" s="736"/>
      <c r="Q31" s="736"/>
      <c r="R31" s="736"/>
      <c r="S31" s="736"/>
      <c r="T31" s="736"/>
      <c r="U31" s="737"/>
      <c r="V31" s="735"/>
      <c r="W31" s="736"/>
      <c r="X31" s="736"/>
      <c r="Y31" s="736"/>
      <c r="Z31" s="736"/>
      <c r="AA31" s="737"/>
      <c r="AB31" s="753"/>
      <c r="AC31" s="754"/>
      <c r="AD31" s="754"/>
      <c r="AE31" s="754"/>
      <c r="AF31" s="754"/>
      <c r="AG31" s="755"/>
      <c r="AH31" s="744"/>
      <c r="AI31" s="745"/>
      <c r="AJ31" s="745"/>
      <c r="AK31" s="745"/>
      <c r="AL31" s="745"/>
      <c r="AM31" s="746"/>
      <c r="AN31" s="73"/>
      <c r="AO31" s="805"/>
      <c r="AP31" s="806"/>
      <c r="AQ31" s="806"/>
      <c r="AR31" s="806"/>
      <c r="AS31" s="806"/>
      <c r="AT31" s="807"/>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row>
    <row r="32" spans="1:80" x14ac:dyDescent="0.25">
      <c r="A32" s="73"/>
      <c r="B32" s="773"/>
      <c r="C32" s="773"/>
      <c r="D32" s="774"/>
      <c r="E32" s="766"/>
      <c r="F32" s="767"/>
      <c r="G32" s="767"/>
      <c r="H32" s="767"/>
      <c r="I32" s="767"/>
      <c r="J32" s="726" t="e">
        <f>IF(AND('Administrativo '!#REF!="Baja",'Administrativo '!#REF!="Leve"),CONCATENATE("R",'Administrativo '!#REF!),"")</f>
        <v>#REF!</v>
      </c>
      <c r="K32" s="727"/>
      <c r="L32" s="727" t="e">
        <f>IF(AND('Administrativo '!#REF!="Baja",'Administrativo '!#REF!="Leve"),CONCATENATE("R",'Administrativo '!#REF!),"")</f>
        <v>#REF!</v>
      </c>
      <c r="M32" s="727"/>
      <c r="N32" s="727" t="e">
        <f>IF(AND('Administrativo '!#REF!="Baja",'Administrativo '!#REF!="Leve"),CONCATENATE("R",'Administrativo '!#REF!),"")</f>
        <v>#REF!</v>
      </c>
      <c r="O32" s="728"/>
      <c r="P32" s="736" t="e">
        <f>IF(AND('Administrativo '!#REF!="Baja",'Administrativo '!#REF!="Menor"),CONCATENATE("R",'Administrativo '!#REF!),"")</f>
        <v>#REF!</v>
      </c>
      <c r="Q32" s="736"/>
      <c r="R32" s="736" t="e">
        <f>IF(AND('Administrativo '!#REF!="Baja",'Administrativo '!#REF!="Menor"),CONCATENATE("R",'Administrativo '!#REF!),"")</f>
        <v>#REF!</v>
      </c>
      <c r="S32" s="736"/>
      <c r="T32" s="736" t="e">
        <f>IF(AND('Administrativo '!#REF!="Baja",'Administrativo '!#REF!="Menor"),CONCATENATE("R",'Administrativo '!#REF!),"")</f>
        <v>#REF!</v>
      </c>
      <c r="U32" s="737"/>
      <c r="V32" s="735" t="e">
        <f>IF(AND('Administrativo '!#REF!="Baja",'Administrativo '!#REF!="Moderado"),CONCATENATE("R",'Administrativo '!#REF!),"")</f>
        <v>#REF!</v>
      </c>
      <c r="W32" s="736"/>
      <c r="X32" s="736" t="e">
        <f>IF(AND('Administrativo '!#REF!="Baja",'Administrativo '!#REF!="Moderado"),CONCATENATE("R",'Administrativo '!#REF!),"")</f>
        <v>#REF!</v>
      </c>
      <c r="Y32" s="736"/>
      <c r="Z32" s="736" t="e">
        <f>IF(AND('Administrativo '!#REF!="Baja",'Administrativo '!#REF!="Moderado"),CONCATENATE("R",'Administrativo '!#REF!),"")</f>
        <v>#REF!</v>
      </c>
      <c r="AA32" s="737"/>
      <c r="AB32" s="753" t="e">
        <f>IF(AND('Administrativo '!#REF!="Baja",'Administrativo '!#REF!="Mayor"),CONCATENATE("R",'Administrativo '!#REF!),"")</f>
        <v>#REF!</v>
      </c>
      <c r="AC32" s="754"/>
      <c r="AD32" s="754" t="e">
        <f>IF(AND('Administrativo '!#REF!="Baja",'Administrativo '!#REF!="Mayor"),CONCATENATE("R",'Administrativo '!#REF!),"")</f>
        <v>#REF!</v>
      </c>
      <c r="AE32" s="754"/>
      <c r="AF32" s="754" t="e">
        <f>IF(AND('Administrativo '!#REF!="Baja",'Administrativo '!#REF!="Mayor"),CONCATENATE("R",'Administrativo '!#REF!),"")</f>
        <v>#REF!</v>
      </c>
      <c r="AG32" s="755"/>
      <c r="AH32" s="744" t="e">
        <f>IF(AND('Administrativo '!#REF!="Baja",'Administrativo '!#REF!="Catastrófico"),CONCATENATE("R",'Administrativo '!#REF!),"")</f>
        <v>#REF!</v>
      </c>
      <c r="AI32" s="745"/>
      <c r="AJ32" s="745" t="e">
        <f>IF(AND('Administrativo '!#REF!="Baja",'Administrativo '!#REF!="Catastrófico"),CONCATENATE("R",'Administrativo '!#REF!),"")</f>
        <v>#REF!</v>
      </c>
      <c r="AK32" s="745"/>
      <c r="AL32" s="745" t="e">
        <f>IF(AND('Administrativo '!#REF!="Baja",'Administrativo '!#REF!="Catastrófico"),CONCATENATE("R",'Administrativo '!#REF!),"")</f>
        <v>#REF!</v>
      </c>
      <c r="AM32" s="746"/>
      <c r="AN32" s="73"/>
      <c r="AO32" s="805"/>
      <c r="AP32" s="806"/>
      <c r="AQ32" s="806"/>
      <c r="AR32" s="806"/>
      <c r="AS32" s="806"/>
      <c r="AT32" s="807"/>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row>
    <row r="33" spans="1:80" x14ac:dyDescent="0.25">
      <c r="A33" s="73"/>
      <c r="B33" s="773"/>
      <c r="C33" s="773"/>
      <c r="D33" s="774"/>
      <c r="E33" s="766"/>
      <c r="F33" s="767"/>
      <c r="G33" s="767"/>
      <c r="H33" s="767"/>
      <c r="I33" s="767"/>
      <c r="J33" s="726"/>
      <c r="K33" s="727"/>
      <c r="L33" s="727"/>
      <c r="M33" s="727"/>
      <c r="N33" s="727"/>
      <c r="O33" s="728"/>
      <c r="P33" s="736"/>
      <c r="Q33" s="736"/>
      <c r="R33" s="736"/>
      <c r="S33" s="736"/>
      <c r="T33" s="736"/>
      <c r="U33" s="737"/>
      <c r="V33" s="735"/>
      <c r="W33" s="736"/>
      <c r="X33" s="736"/>
      <c r="Y33" s="736"/>
      <c r="Z33" s="736"/>
      <c r="AA33" s="737"/>
      <c r="AB33" s="753"/>
      <c r="AC33" s="754"/>
      <c r="AD33" s="754"/>
      <c r="AE33" s="754"/>
      <c r="AF33" s="754"/>
      <c r="AG33" s="755"/>
      <c r="AH33" s="744"/>
      <c r="AI33" s="745"/>
      <c r="AJ33" s="745"/>
      <c r="AK33" s="745"/>
      <c r="AL33" s="745"/>
      <c r="AM33" s="746"/>
      <c r="AN33" s="73"/>
      <c r="AO33" s="805"/>
      <c r="AP33" s="806"/>
      <c r="AQ33" s="806"/>
      <c r="AR33" s="806"/>
      <c r="AS33" s="806"/>
      <c r="AT33" s="807"/>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row>
    <row r="34" spans="1:80" x14ac:dyDescent="0.25">
      <c r="A34" s="73"/>
      <c r="B34" s="773"/>
      <c r="C34" s="773"/>
      <c r="D34" s="774"/>
      <c r="E34" s="766"/>
      <c r="F34" s="767"/>
      <c r="G34" s="767"/>
      <c r="H34" s="767"/>
      <c r="I34" s="767"/>
      <c r="J34" s="726" t="e">
        <f>IF(AND('Administrativo '!#REF!="Baja",'Administrativo '!#REF!="Leve"),CONCATENATE("R",'Administrativo '!#REF!),"")</f>
        <v>#REF!</v>
      </c>
      <c r="K34" s="727"/>
      <c r="L34" s="727" t="e">
        <f>IF(AND('Administrativo '!#REF!="Baja",'Administrativo '!#REF!="Leve"),CONCATENATE("R",'Administrativo '!#REF!),"")</f>
        <v>#REF!</v>
      </c>
      <c r="M34" s="727"/>
      <c r="N34" s="727" t="e">
        <f>IF(AND('Administrativo '!#REF!="Baja",'Administrativo '!#REF!="Leve"),CONCATENATE("R",'Administrativo '!#REF!),"")</f>
        <v>#REF!</v>
      </c>
      <c r="O34" s="728"/>
      <c r="P34" s="736" t="e">
        <f>IF(AND('Administrativo '!#REF!="Baja",'Administrativo '!#REF!="Menor"),CONCATENATE("R",'Administrativo '!#REF!),"")</f>
        <v>#REF!</v>
      </c>
      <c r="Q34" s="736"/>
      <c r="R34" s="736" t="e">
        <f>IF(AND('Administrativo '!#REF!="Baja",'Administrativo '!#REF!="Menor"),CONCATENATE("R",'Administrativo '!#REF!),"")</f>
        <v>#REF!</v>
      </c>
      <c r="S34" s="736"/>
      <c r="T34" s="736" t="e">
        <f>IF(AND('Administrativo '!#REF!="Baja",'Administrativo '!#REF!="Menor"),CONCATENATE("R",'Administrativo '!#REF!),"")</f>
        <v>#REF!</v>
      </c>
      <c r="U34" s="737"/>
      <c r="V34" s="735" t="e">
        <f>IF(AND('Administrativo '!#REF!="Baja",'Administrativo '!#REF!="Moderado"),CONCATENATE("R",'Administrativo '!#REF!),"")</f>
        <v>#REF!</v>
      </c>
      <c r="W34" s="736"/>
      <c r="X34" s="736" t="e">
        <f>IF(AND('Administrativo '!#REF!="Baja",'Administrativo '!#REF!="Moderado"),CONCATENATE("R",'Administrativo '!#REF!),"")</f>
        <v>#REF!</v>
      </c>
      <c r="Y34" s="736"/>
      <c r="Z34" s="736" t="e">
        <f>IF(AND('Administrativo '!#REF!="Baja",'Administrativo '!#REF!="Moderado"),CONCATENATE("R",'Administrativo '!#REF!),"")</f>
        <v>#REF!</v>
      </c>
      <c r="AA34" s="737"/>
      <c r="AB34" s="753" t="e">
        <f>IF(AND('Administrativo '!#REF!="Baja",'Administrativo '!#REF!="Mayor"),CONCATENATE("R",'Administrativo '!#REF!),"")</f>
        <v>#REF!</v>
      </c>
      <c r="AC34" s="754"/>
      <c r="AD34" s="754" t="e">
        <f>IF(AND('Administrativo '!#REF!="Baja",'Administrativo '!#REF!="Mayor"),CONCATENATE("R",'Administrativo '!#REF!),"")</f>
        <v>#REF!</v>
      </c>
      <c r="AE34" s="754"/>
      <c r="AF34" s="754" t="e">
        <f>IF(AND('Administrativo '!#REF!="Baja",'Administrativo '!#REF!="Mayor"),CONCATENATE("R",'Administrativo '!#REF!),"")</f>
        <v>#REF!</v>
      </c>
      <c r="AG34" s="755"/>
      <c r="AH34" s="744" t="e">
        <f>IF(AND('Administrativo '!#REF!="Baja",'Administrativo '!#REF!="Catastrófico"),CONCATENATE("R",'Administrativo '!#REF!),"")</f>
        <v>#REF!</v>
      </c>
      <c r="AI34" s="745"/>
      <c r="AJ34" s="745" t="e">
        <f>IF(AND('Administrativo '!#REF!="Baja",'Administrativo '!#REF!="Catastrófico"),CONCATENATE("R",'Administrativo '!#REF!),"")</f>
        <v>#REF!</v>
      </c>
      <c r="AK34" s="745"/>
      <c r="AL34" s="745" t="e">
        <f>IF(AND('Administrativo '!#REF!="Baja",'Administrativo '!#REF!="Catastrófico"),CONCATENATE("R",'Administrativo '!#REF!),"")</f>
        <v>#REF!</v>
      </c>
      <c r="AM34" s="746"/>
      <c r="AN34" s="73"/>
      <c r="AO34" s="805"/>
      <c r="AP34" s="806"/>
      <c r="AQ34" s="806"/>
      <c r="AR34" s="806"/>
      <c r="AS34" s="806"/>
      <c r="AT34" s="807"/>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row>
    <row r="35" spans="1:80" x14ac:dyDescent="0.25">
      <c r="A35" s="73"/>
      <c r="B35" s="773"/>
      <c r="C35" s="773"/>
      <c r="D35" s="774"/>
      <c r="E35" s="766"/>
      <c r="F35" s="767"/>
      <c r="G35" s="767"/>
      <c r="H35" s="767"/>
      <c r="I35" s="767"/>
      <c r="J35" s="726"/>
      <c r="K35" s="727"/>
      <c r="L35" s="727"/>
      <c r="M35" s="727"/>
      <c r="N35" s="727"/>
      <c r="O35" s="728"/>
      <c r="P35" s="736"/>
      <c r="Q35" s="736"/>
      <c r="R35" s="736"/>
      <c r="S35" s="736"/>
      <c r="T35" s="736"/>
      <c r="U35" s="737"/>
      <c r="V35" s="735"/>
      <c r="W35" s="736"/>
      <c r="X35" s="736"/>
      <c r="Y35" s="736"/>
      <c r="Z35" s="736"/>
      <c r="AA35" s="737"/>
      <c r="AB35" s="753"/>
      <c r="AC35" s="754"/>
      <c r="AD35" s="754"/>
      <c r="AE35" s="754"/>
      <c r="AF35" s="754"/>
      <c r="AG35" s="755"/>
      <c r="AH35" s="744"/>
      <c r="AI35" s="745"/>
      <c r="AJ35" s="745"/>
      <c r="AK35" s="745"/>
      <c r="AL35" s="745"/>
      <c r="AM35" s="746"/>
      <c r="AN35" s="73"/>
      <c r="AO35" s="805"/>
      <c r="AP35" s="806"/>
      <c r="AQ35" s="806"/>
      <c r="AR35" s="806"/>
      <c r="AS35" s="806"/>
      <c r="AT35" s="807"/>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row>
    <row r="36" spans="1:80" x14ac:dyDescent="0.25">
      <c r="A36" s="73"/>
      <c r="B36" s="773"/>
      <c r="C36" s="773"/>
      <c r="D36" s="774"/>
      <c r="E36" s="766"/>
      <c r="F36" s="767"/>
      <c r="G36" s="767"/>
      <c r="H36" s="767"/>
      <c r="I36" s="767"/>
      <c r="J36" s="726" t="e">
        <f>IF(AND('Administrativo '!#REF!="Baja",'Administrativo '!#REF!="Leve"),CONCATENATE("R",'Administrativo '!#REF!),"")</f>
        <v>#REF!</v>
      </c>
      <c r="K36" s="727"/>
      <c r="L36" s="727" t="str">
        <f>IF(AND('Administrativo '!$H$14="Baja",'Administrativo '!$L$14="Leve"),CONCATENATE("R",'Administrativo '!$A$14),"")</f>
        <v/>
      </c>
      <c r="M36" s="727"/>
      <c r="N36" s="727" t="str">
        <f>IF(AND('Administrativo '!$H$20="Baja",'Administrativo '!$L$20="Leve"),CONCATENATE("R",'Administrativo '!$A$20),"")</f>
        <v/>
      </c>
      <c r="O36" s="728"/>
      <c r="P36" s="736" t="e">
        <f>IF(AND('Administrativo '!#REF!="Baja",'Administrativo '!#REF!="Menor"),CONCATENATE("R",'Administrativo '!#REF!),"")</f>
        <v>#REF!</v>
      </c>
      <c r="Q36" s="736"/>
      <c r="R36" s="736" t="str">
        <f>IF(AND('Administrativo '!$H$14="Baja",'Administrativo '!$L$14="Menor"),CONCATENATE("R",'Administrativo '!$A$14),"")</f>
        <v/>
      </c>
      <c r="S36" s="736"/>
      <c r="T36" s="736" t="str">
        <f>IF(AND('Administrativo '!$H$20="Baja",'Administrativo '!$L$20="Menor"),CONCATENATE("R",'Administrativo '!$A$20),"")</f>
        <v/>
      </c>
      <c r="U36" s="737"/>
      <c r="V36" s="735" t="e">
        <f>IF(AND('Administrativo '!#REF!="Baja",'Administrativo '!#REF!="Moderado"),CONCATENATE("R",'Administrativo '!#REF!),"")</f>
        <v>#REF!</v>
      </c>
      <c r="W36" s="736"/>
      <c r="X36" s="736" t="str">
        <f>IF(AND('Administrativo '!$H$14="Baja",'Administrativo '!$L$14="Moderado"),CONCATENATE("R",'Administrativo '!$A$14),"")</f>
        <v/>
      </c>
      <c r="Y36" s="736"/>
      <c r="Z36" s="736" t="str">
        <f>IF(AND('Administrativo '!$H$20="Baja",'Administrativo '!$L$20="Moderado"),CONCATENATE("R",'Administrativo '!$A$20),"")</f>
        <v/>
      </c>
      <c r="AA36" s="737"/>
      <c r="AB36" s="753" t="e">
        <f>IF(AND('Administrativo '!#REF!="Baja",'Administrativo '!#REF!="Mayor"),CONCATENATE("R",'Administrativo '!#REF!),"")</f>
        <v>#REF!</v>
      </c>
      <c r="AC36" s="754"/>
      <c r="AD36" s="754" t="str">
        <f>IF(AND('Administrativo '!$H$14="Baja",'Administrativo '!$L$14="Mayor"),CONCATENATE("R",'Administrativo '!$A$14),"")</f>
        <v/>
      </c>
      <c r="AE36" s="754"/>
      <c r="AF36" s="754" t="str">
        <f>IF(AND('Administrativo '!$H$20="Baja",'Administrativo '!$L$20="Mayor"),CONCATENATE("R",'Administrativo '!$A$20),"")</f>
        <v/>
      </c>
      <c r="AG36" s="755"/>
      <c r="AH36" s="744" t="e">
        <f>IF(AND('Administrativo '!#REF!="Baja",'Administrativo '!#REF!="Catastrófico"),CONCATENATE("R",'Administrativo '!#REF!),"")</f>
        <v>#REF!</v>
      </c>
      <c r="AI36" s="745"/>
      <c r="AJ36" s="745" t="str">
        <f>IF(AND('Administrativo '!$H$14="Baja",'Administrativo '!$L$14="Catastrófico"),CONCATENATE("R",'Administrativo '!$A$14),"")</f>
        <v/>
      </c>
      <c r="AK36" s="745"/>
      <c r="AL36" s="745" t="str">
        <f>IF(AND('Administrativo '!$H$20="Baja",'Administrativo '!$L$20="Catastrófico"),CONCATENATE("R",'Administrativo '!$A$20),"")</f>
        <v/>
      </c>
      <c r="AM36" s="746"/>
      <c r="AN36" s="73"/>
      <c r="AO36" s="805"/>
      <c r="AP36" s="806"/>
      <c r="AQ36" s="806"/>
      <c r="AR36" s="806"/>
      <c r="AS36" s="806"/>
      <c r="AT36" s="807"/>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row>
    <row r="37" spans="1:80" ht="15.75" thickBot="1" x14ac:dyDescent="0.3">
      <c r="A37" s="73"/>
      <c r="B37" s="773"/>
      <c r="C37" s="773"/>
      <c r="D37" s="774"/>
      <c r="E37" s="769"/>
      <c r="F37" s="770"/>
      <c r="G37" s="770"/>
      <c r="H37" s="770"/>
      <c r="I37" s="770"/>
      <c r="J37" s="729"/>
      <c r="K37" s="730"/>
      <c r="L37" s="730"/>
      <c r="M37" s="730"/>
      <c r="N37" s="730"/>
      <c r="O37" s="731"/>
      <c r="P37" s="739"/>
      <c r="Q37" s="739"/>
      <c r="R37" s="739"/>
      <c r="S37" s="739"/>
      <c r="T37" s="739"/>
      <c r="U37" s="740"/>
      <c r="V37" s="738"/>
      <c r="W37" s="739"/>
      <c r="X37" s="739"/>
      <c r="Y37" s="739"/>
      <c r="Z37" s="739"/>
      <c r="AA37" s="740"/>
      <c r="AB37" s="756"/>
      <c r="AC37" s="757"/>
      <c r="AD37" s="757"/>
      <c r="AE37" s="757"/>
      <c r="AF37" s="757"/>
      <c r="AG37" s="758"/>
      <c r="AH37" s="747"/>
      <c r="AI37" s="748"/>
      <c r="AJ37" s="748"/>
      <c r="AK37" s="748"/>
      <c r="AL37" s="748"/>
      <c r="AM37" s="749"/>
      <c r="AN37" s="73"/>
      <c r="AO37" s="808"/>
      <c r="AP37" s="809"/>
      <c r="AQ37" s="809"/>
      <c r="AR37" s="809"/>
      <c r="AS37" s="809"/>
      <c r="AT37" s="810"/>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row>
    <row r="38" spans="1:80" x14ac:dyDescent="0.25">
      <c r="A38" s="73"/>
      <c r="B38" s="773"/>
      <c r="C38" s="773"/>
      <c r="D38" s="774"/>
      <c r="E38" s="763" t="s">
        <v>117</v>
      </c>
      <c r="F38" s="764"/>
      <c r="G38" s="764"/>
      <c r="H38" s="764"/>
      <c r="I38" s="765"/>
      <c r="J38" s="732" t="str">
        <f>IF(AND('Administrativo '!$H$10="Muy Baja",'Administrativo '!$L$10="Leve"),CONCATENATE("R",'Administrativo '!$A$10),"")</f>
        <v/>
      </c>
      <c r="K38" s="733"/>
      <c r="L38" s="733" t="e">
        <f>IF(AND('Administrativo '!#REF!="Muy Baja",'Administrativo '!#REF!="Leve"),CONCATENATE("R",'Administrativo '!#REF!),"")</f>
        <v>#REF!</v>
      </c>
      <c r="M38" s="733"/>
      <c r="N38" s="733" t="e">
        <f>IF(AND('Administrativo '!#REF!="Muy Baja",'Administrativo '!#REF!="Leve"),CONCATENATE("R",'Administrativo '!#REF!),"")</f>
        <v>#REF!</v>
      </c>
      <c r="O38" s="734"/>
      <c r="P38" s="732" t="str">
        <f>IF(AND('Administrativo '!$H$10="Muy Baja",'Administrativo '!$L$10="Menor"),CONCATENATE("R",'Administrativo '!$A$10),"")</f>
        <v/>
      </c>
      <c r="Q38" s="733"/>
      <c r="R38" s="733" t="e">
        <f>IF(AND('Administrativo '!#REF!="Muy Baja",'Administrativo '!#REF!="Menor"),CONCATENATE("R",'Administrativo '!#REF!),"")</f>
        <v>#REF!</v>
      </c>
      <c r="S38" s="733"/>
      <c r="T38" s="733" t="e">
        <f>IF(AND('Administrativo '!#REF!="Muy Baja",'Administrativo '!#REF!="Menor"),CONCATENATE("R",'Administrativo '!#REF!),"")</f>
        <v>#REF!</v>
      </c>
      <c r="U38" s="734"/>
      <c r="V38" s="741" t="str">
        <f>IF(AND('Administrativo '!$H$10="Muy Baja",'Administrativo '!$L$10="Moderado"),CONCATENATE("R",'Administrativo '!$A$10),"")</f>
        <v/>
      </c>
      <c r="W38" s="742"/>
      <c r="X38" s="742" t="e">
        <f>IF(AND('Administrativo '!#REF!="Muy Baja",'Administrativo '!#REF!="Moderado"),CONCATENATE("R",'Administrativo '!#REF!),"")</f>
        <v>#REF!</v>
      </c>
      <c r="Y38" s="742"/>
      <c r="Z38" s="742" t="e">
        <f>IF(AND('Administrativo '!#REF!="Muy Baja",'Administrativo '!#REF!="Moderado"),CONCATENATE("R",'Administrativo '!#REF!),"")</f>
        <v>#REF!</v>
      </c>
      <c r="AA38" s="743"/>
      <c r="AB38" s="759" t="str">
        <f>IF(AND('Administrativo '!$H$10="Muy Baja",'Administrativo '!$L$10="Mayor"),CONCATENATE("R",'Administrativo '!$A$10),"")</f>
        <v/>
      </c>
      <c r="AC38" s="760"/>
      <c r="AD38" s="760" t="e">
        <f>IF(AND('Administrativo '!#REF!="Muy Baja",'Administrativo '!#REF!="Mayor"),CONCATENATE("R",'Administrativo '!#REF!),"")</f>
        <v>#REF!</v>
      </c>
      <c r="AE38" s="760"/>
      <c r="AF38" s="760" t="e">
        <f>IF(AND('Administrativo '!#REF!="Muy Baja",'Administrativo '!#REF!="Mayor"),CONCATENATE("R",'Administrativo '!#REF!),"")</f>
        <v>#REF!</v>
      </c>
      <c r="AG38" s="761"/>
      <c r="AH38" s="750" t="str">
        <f>IF(AND('Administrativo '!$H$10="Muy Baja",'Administrativo '!$L$10="Catastrófico"),CONCATENATE("R",'Administrativo '!$A$10),"")</f>
        <v/>
      </c>
      <c r="AI38" s="751"/>
      <c r="AJ38" s="751" t="e">
        <f>IF(AND('Administrativo '!#REF!="Muy Baja",'Administrativo '!#REF!="Catastrófico"),CONCATENATE("R",'Administrativo '!#REF!),"")</f>
        <v>#REF!</v>
      </c>
      <c r="AK38" s="751"/>
      <c r="AL38" s="751" t="e">
        <f>IF(AND('Administrativo '!#REF!="Muy Baja",'Administrativo '!#REF!="Catastrófico"),CONCATENATE("R",'Administrativo '!#REF!),"")</f>
        <v>#REF!</v>
      </c>
      <c r="AM38" s="752"/>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row>
    <row r="39" spans="1:80" x14ac:dyDescent="0.25">
      <c r="A39" s="73"/>
      <c r="B39" s="773"/>
      <c r="C39" s="773"/>
      <c r="D39" s="774"/>
      <c r="E39" s="766"/>
      <c r="F39" s="767"/>
      <c r="G39" s="767"/>
      <c r="H39" s="767"/>
      <c r="I39" s="768"/>
      <c r="J39" s="726"/>
      <c r="K39" s="727"/>
      <c r="L39" s="727"/>
      <c r="M39" s="727"/>
      <c r="N39" s="727"/>
      <c r="O39" s="728"/>
      <c r="P39" s="726"/>
      <c r="Q39" s="727"/>
      <c r="R39" s="727"/>
      <c r="S39" s="727"/>
      <c r="T39" s="727"/>
      <c r="U39" s="728"/>
      <c r="V39" s="735"/>
      <c r="W39" s="736"/>
      <c r="X39" s="736"/>
      <c r="Y39" s="736"/>
      <c r="Z39" s="736"/>
      <c r="AA39" s="737"/>
      <c r="AB39" s="753"/>
      <c r="AC39" s="754"/>
      <c r="AD39" s="754"/>
      <c r="AE39" s="754"/>
      <c r="AF39" s="754"/>
      <c r="AG39" s="755"/>
      <c r="AH39" s="744"/>
      <c r="AI39" s="745"/>
      <c r="AJ39" s="745"/>
      <c r="AK39" s="745"/>
      <c r="AL39" s="745"/>
      <c r="AM39" s="746"/>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row>
    <row r="40" spans="1:80" x14ac:dyDescent="0.25">
      <c r="A40" s="73"/>
      <c r="B40" s="773"/>
      <c r="C40" s="773"/>
      <c r="D40" s="774"/>
      <c r="E40" s="766"/>
      <c r="F40" s="767"/>
      <c r="G40" s="767"/>
      <c r="H40" s="767"/>
      <c r="I40" s="768"/>
      <c r="J40" s="726" t="e">
        <f>IF(AND('Administrativo '!#REF!="Muy Baja",'Administrativo '!#REF!="Leve"),CONCATENATE("R",'Administrativo '!#REF!),"")</f>
        <v>#REF!</v>
      </c>
      <c r="K40" s="727"/>
      <c r="L40" s="727" t="e">
        <f>IF(AND('Administrativo '!#REF!="Muy Baja",'Administrativo '!#REF!="Leve"),CONCATENATE("R",'Administrativo '!#REF!),"")</f>
        <v>#REF!</v>
      </c>
      <c r="M40" s="727"/>
      <c r="N40" s="727" t="e">
        <f>IF(AND('Administrativo '!#REF!="Muy Baja",'Administrativo '!#REF!="Leve"),CONCATENATE("R",'Administrativo '!#REF!),"")</f>
        <v>#REF!</v>
      </c>
      <c r="O40" s="728"/>
      <c r="P40" s="726" t="e">
        <f>IF(AND('Administrativo '!#REF!="Muy Baja",'Administrativo '!#REF!="Menor"),CONCATENATE("R",'Administrativo '!#REF!),"")</f>
        <v>#REF!</v>
      </c>
      <c r="Q40" s="727"/>
      <c r="R40" s="727" t="e">
        <f>IF(AND('Administrativo '!#REF!="Muy Baja",'Administrativo '!#REF!="Menor"),CONCATENATE("R",'Administrativo '!#REF!),"")</f>
        <v>#REF!</v>
      </c>
      <c r="S40" s="727"/>
      <c r="T40" s="727" t="e">
        <f>IF(AND('Administrativo '!#REF!="Muy Baja",'Administrativo '!#REF!="Menor"),CONCATENATE("R",'Administrativo '!#REF!),"")</f>
        <v>#REF!</v>
      </c>
      <c r="U40" s="728"/>
      <c r="V40" s="735" t="e">
        <f>IF(AND('Administrativo '!#REF!="Muy Baja",'Administrativo '!#REF!="Moderado"),CONCATENATE("R",'Administrativo '!#REF!),"")</f>
        <v>#REF!</v>
      </c>
      <c r="W40" s="736"/>
      <c r="X40" s="736" t="e">
        <f>IF(AND('Administrativo '!#REF!="Muy Baja",'Administrativo '!#REF!="Moderado"),CONCATENATE("R",'Administrativo '!#REF!),"")</f>
        <v>#REF!</v>
      </c>
      <c r="Y40" s="736"/>
      <c r="Z40" s="736" t="e">
        <f>IF(AND('Administrativo '!#REF!="Muy Baja",'Administrativo '!#REF!="Moderado"),CONCATENATE("R",'Administrativo '!#REF!),"")</f>
        <v>#REF!</v>
      </c>
      <c r="AA40" s="737"/>
      <c r="AB40" s="753" t="e">
        <f>IF(AND('Administrativo '!#REF!="Muy Baja",'Administrativo '!#REF!="Mayor"),CONCATENATE("R",'Administrativo '!#REF!),"")</f>
        <v>#REF!</v>
      </c>
      <c r="AC40" s="754"/>
      <c r="AD40" s="754" t="e">
        <f>IF(AND('Administrativo '!#REF!="Muy Baja",'Administrativo '!#REF!="Mayor"),CONCATENATE("R",'Administrativo '!#REF!),"")</f>
        <v>#REF!</v>
      </c>
      <c r="AE40" s="754"/>
      <c r="AF40" s="754" t="e">
        <f>IF(AND('Administrativo '!#REF!="Muy Baja",'Administrativo '!#REF!="Mayor"),CONCATENATE("R",'Administrativo '!#REF!),"")</f>
        <v>#REF!</v>
      </c>
      <c r="AG40" s="755"/>
      <c r="AH40" s="744" t="e">
        <f>IF(AND('Administrativo '!#REF!="Muy Baja",'Administrativo '!#REF!="Catastrófico"),CONCATENATE("R",'Administrativo '!#REF!),"")</f>
        <v>#REF!</v>
      </c>
      <c r="AI40" s="745"/>
      <c r="AJ40" s="745" t="e">
        <f>IF(AND('Administrativo '!#REF!="Muy Baja",'Administrativo '!#REF!="Catastrófico"),CONCATENATE("R",'Administrativo '!#REF!),"")</f>
        <v>#REF!</v>
      </c>
      <c r="AK40" s="745"/>
      <c r="AL40" s="745" t="e">
        <f>IF(AND('Administrativo '!#REF!="Muy Baja",'Administrativo '!#REF!="Catastrófico"),CONCATENATE("R",'Administrativo '!#REF!),"")</f>
        <v>#REF!</v>
      </c>
      <c r="AM40" s="746"/>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row>
    <row r="41" spans="1:80" x14ac:dyDescent="0.25">
      <c r="A41" s="73"/>
      <c r="B41" s="773"/>
      <c r="C41" s="773"/>
      <c r="D41" s="774"/>
      <c r="E41" s="766"/>
      <c r="F41" s="767"/>
      <c r="G41" s="767"/>
      <c r="H41" s="767"/>
      <c r="I41" s="768"/>
      <c r="J41" s="726"/>
      <c r="K41" s="727"/>
      <c r="L41" s="727"/>
      <c r="M41" s="727"/>
      <c r="N41" s="727"/>
      <c r="O41" s="728"/>
      <c r="P41" s="726"/>
      <c r="Q41" s="727"/>
      <c r="R41" s="727"/>
      <c r="S41" s="727"/>
      <c r="T41" s="727"/>
      <c r="U41" s="728"/>
      <c r="V41" s="735"/>
      <c r="W41" s="736"/>
      <c r="X41" s="736"/>
      <c r="Y41" s="736"/>
      <c r="Z41" s="736"/>
      <c r="AA41" s="737"/>
      <c r="AB41" s="753"/>
      <c r="AC41" s="754"/>
      <c r="AD41" s="754"/>
      <c r="AE41" s="754"/>
      <c r="AF41" s="754"/>
      <c r="AG41" s="755"/>
      <c r="AH41" s="744"/>
      <c r="AI41" s="745"/>
      <c r="AJ41" s="745"/>
      <c r="AK41" s="745"/>
      <c r="AL41" s="745"/>
      <c r="AM41" s="746"/>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row>
    <row r="42" spans="1:80" x14ac:dyDescent="0.25">
      <c r="A42" s="73"/>
      <c r="B42" s="773"/>
      <c r="C42" s="773"/>
      <c r="D42" s="774"/>
      <c r="E42" s="766"/>
      <c r="F42" s="767"/>
      <c r="G42" s="767"/>
      <c r="H42" s="767"/>
      <c r="I42" s="768"/>
      <c r="J42" s="726" t="e">
        <f>IF(AND('Administrativo '!#REF!="Muy Baja",'Administrativo '!#REF!="Leve"),CONCATENATE("R",'Administrativo '!#REF!),"")</f>
        <v>#REF!</v>
      </c>
      <c r="K42" s="727"/>
      <c r="L42" s="727" t="e">
        <f>IF(AND('Administrativo '!#REF!="Muy Baja",'Administrativo '!#REF!="Leve"),CONCATENATE("R",'Administrativo '!#REF!),"")</f>
        <v>#REF!</v>
      </c>
      <c r="M42" s="727"/>
      <c r="N42" s="727" t="e">
        <f>IF(AND('Administrativo '!#REF!="Muy Baja",'Administrativo '!#REF!="Leve"),CONCATENATE("R",'Administrativo '!#REF!),"")</f>
        <v>#REF!</v>
      </c>
      <c r="O42" s="728"/>
      <c r="P42" s="726" t="e">
        <f>IF(AND('Administrativo '!#REF!="Muy Baja",'Administrativo '!#REF!="Menor"),CONCATENATE("R",'Administrativo '!#REF!),"")</f>
        <v>#REF!</v>
      </c>
      <c r="Q42" s="727"/>
      <c r="R42" s="727" t="e">
        <f>IF(AND('Administrativo '!#REF!="Muy Baja",'Administrativo '!#REF!="Menor"),CONCATENATE("R",'Administrativo '!#REF!),"")</f>
        <v>#REF!</v>
      </c>
      <c r="S42" s="727"/>
      <c r="T42" s="727" t="e">
        <f>IF(AND('Administrativo '!#REF!="Muy Baja",'Administrativo '!#REF!="Menor"),CONCATENATE("R",'Administrativo '!#REF!),"")</f>
        <v>#REF!</v>
      </c>
      <c r="U42" s="728"/>
      <c r="V42" s="735" t="e">
        <f>IF(AND('Administrativo '!#REF!="Muy Baja",'Administrativo '!#REF!="Moderado"),CONCATENATE("R",'Administrativo '!#REF!),"")</f>
        <v>#REF!</v>
      </c>
      <c r="W42" s="736"/>
      <c r="X42" s="736" t="e">
        <f>IF(AND('Administrativo '!#REF!="Muy Baja",'Administrativo '!#REF!="Moderado"),CONCATENATE("R",'Administrativo '!#REF!),"")</f>
        <v>#REF!</v>
      </c>
      <c r="Y42" s="736"/>
      <c r="Z42" s="736" t="e">
        <f>IF(AND('Administrativo '!#REF!="Muy Baja",'Administrativo '!#REF!="Moderado"),CONCATENATE("R",'Administrativo '!#REF!),"")</f>
        <v>#REF!</v>
      </c>
      <c r="AA42" s="737"/>
      <c r="AB42" s="753" t="e">
        <f>IF(AND('Administrativo '!#REF!="Muy Baja",'Administrativo '!#REF!="Mayor"),CONCATENATE("R",'Administrativo '!#REF!),"")</f>
        <v>#REF!</v>
      </c>
      <c r="AC42" s="754"/>
      <c r="AD42" s="754" t="e">
        <f>IF(AND('Administrativo '!#REF!="Muy Baja",'Administrativo '!#REF!="Mayor"),CONCATENATE("R",'Administrativo '!#REF!),"")</f>
        <v>#REF!</v>
      </c>
      <c r="AE42" s="754"/>
      <c r="AF42" s="754" t="e">
        <f>IF(AND('Administrativo '!#REF!="Muy Baja",'Administrativo '!#REF!="Mayor"),CONCATENATE("R",'Administrativo '!#REF!),"")</f>
        <v>#REF!</v>
      </c>
      <c r="AG42" s="755"/>
      <c r="AH42" s="744" t="e">
        <f>IF(AND('Administrativo '!#REF!="Muy Baja",'Administrativo '!#REF!="Catastrófico"),CONCATENATE("R",'Administrativo '!#REF!),"")</f>
        <v>#REF!</v>
      </c>
      <c r="AI42" s="745"/>
      <c r="AJ42" s="745" t="e">
        <f>IF(AND('Administrativo '!#REF!="Muy Baja",'Administrativo '!#REF!="Catastrófico"),CONCATENATE("R",'Administrativo '!#REF!),"")</f>
        <v>#REF!</v>
      </c>
      <c r="AK42" s="745"/>
      <c r="AL42" s="745" t="e">
        <f>IF(AND('Administrativo '!#REF!="Muy Baja",'Administrativo '!#REF!="Catastrófico"),CONCATENATE("R",'Administrativo '!#REF!),"")</f>
        <v>#REF!</v>
      </c>
      <c r="AM42" s="746"/>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row>
    <row r="43" spans="1:80" x14ac:dyDescent="0.25">
      <c r="A43" s="73"/>
      <c r="B43" s="773"/>
      <c r="C43" s="773"/>
      <c r="D43" s="774"/>
      <c r="E43" s="766"/>
      <c r="F43" s="767"/>
      <c r="G43" s="767"/>
      <c r="H43" s="767"/>
      <c r="I43" s="768"/>
      <c r="J43" s="726"/>
      <c r="K43" s="727"/>
      <c r="L43" s="727"/>
      <c r="M43" s="727"/>
      <c r="N43" s="727"/>
      <c r="O43" s="728"/>
      <c r="P43" s="726"/>
      <c r="Q43" s="727"/>
      <c r="R43" s="727"/>
      <c r="S43" s="727"/>
      <c r="T43" s="727"/>
      <c r="U43" s="728"/>
      <c r="V43" s="735"/>
      <c r="W43" s="736"/>
      <c r="X43" s="736"/>
      <c r="Y43" s="736"/>
      <c r="Z43" s="736"/>
      <c r="AA43" s="737"/>
      <c r="AB43" s="753"/>
      <c r="AC43" s="754"/>
      <c r="AD43" s="754"/>
      <c r="AE43" s="754"/>
      <c r="AF43" s="754"/>
      <c r="AG43" s="755"/>
      <c r="AH43" s="744"/>
      <c r="AI43" s="745"/>
      <c r="AJ43" s="745"/>
      <c r="AK43" s="745"/>
      <c r="AL43" s="745"/>
      <c r="AM43" s="746"/>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row>
    <row r="44" spans="1:80" x14ac:dyDescent="0.25">
      <c r="A44" s="73"/>
      <c r="B44" s="773"/>
      <c r="C44" s="773"/>
      <c r="D44" s="774"/>
      <c r="E44" s="766"/>
      <c r="F44" s="767"/>
      <c r="G44" s="767"/>
      <c r="H44" s="767"/>
      <c r="I44" s="768"/>
      <c r="J44" s="726" t="e">
        <f>IF(AND('Administrativo '!#REF!="Muy Baja",'Administrativo '!#REF!="Leve"),CONCATENATE("R",'Administrativo '!#REF!),"")</f>
        <v>#REF!</v>
      </c>
      <c r="K44" s="727"/>
      <c r="L44" s="727" t="str">
        <f>IF(AND('Administrativo '!$H$14="Muy Baja",'Administrativo '!$L$14="Leve"),CONCATENATE("R",'Administrativo '!$A$14),"")</f>
        <v/>
      </c>
      <c r="M44" s="727"/>
      <c r="N44" s="727" t="str">
        <f>IF(AND('Administrativo '!$H$20="Muy Baja",'Administrativo '!$L$20="Leve"),CONCATENATE("R",'Administrativo '!$A$20),"")</f>
        <v/>
      </c>
      <c r="O44" s="728"/>
      <c r="P44" s="726" t="e">
        <f>IF(AND('Administrativo '!#REF!="Muy Baja",'Administrativo '!#REF!="Menor"),CONCATENATE("R",'Administrativo '!#REF!),"")</f>
        <v>#REF!</v>
      </c>
      <c r="Q44" s="727"/>
      <c r="R44" s="727" t="str">
        <f>IF(AND('Administrativo '!$H$14="Muy Baja",'Administrativo '!$L$14="Menor"),CONCATENATE("R",'Administrativo '!$A$14),"")</f>
        <v/>
      </c>
      <c r="S44" s="727"/>
      <c r="T44" s="727" t="str">
        <f>IF(AND('Administrativo '!$H$20="Muy Baja",'Administrativo '!$L$20="Menor"),CONCATENATE("R",'Administrativo '!$A$20),"")</f>
        <v/>
      </c>
      <c r="U44" s="728"/>
      <c r="V44" s="735" t="e">
        <f>IF(AND('Administrativo '!#REF!="Muy Baja",'Administrativo '!#REF!="Moderado"),CONCATENATE("R",'Administrativo '!#REF!),"")</f>
        <v>#REF!</v>
      </c>
      <c r="W44" s="736"/>
      <c r="X44" s="736" t="str">
        <f>IF(AND('Administrativo '!$H$14="Muy Baja",'Administrativo '!$L$14="Moderado"),CONCATENATE("R",'Administrativo '!$A$14),"")</f>
        <v/>
      </c>
      <c r="Y44" s="736"/>
      <c r="Z44" s="736" t="str">
        <f>IF(AND('Administrativo '!$H$20="Muy Baja",'Administrativo '!$L$20="Moderado"),CONCATENATE("R",'Administrativo '!$A$20),"")</f>
        <v/>
      </c>
      <c r="AA44" s="737"/>
      <c r="AB44" s="753" t="e">
        <f>IF(AND('Administrativo '!#REF!="Muy Baja",'Administrativo '!#REF!="Mayor"),CONCATENATE("R",'Administrativo '!#REF!),"")</f>
        <v>#REF!</v>
      </c>
      <c r="AC44" s="754"/>
      <c r="AD44" s="754" t="str">
        <f>IF(AND('Administrativo '!$H$14="Muy Baja",'Administrativo '!$L$14="Mayor"),CONCATENATE("R",'Administrativo '!$A$14),"")</f>
        <v/>
      </c>
      <c r="AE44" s="754"/>
      <c r="AF44" s="754" t="str">
        <f>IF(AND('Administrativo '!$H$20="Muy Baja",'Administrativo '!$L$20="Mayor"),CONCATENATE("R",'Administrativo '!$A$20),"")</f>
        <v/>
      </c>
      <c r="AG44" s="755"/>
      <c r="AH44" s="744" t="e">
        <f>IF(AND('Administrativo '!#REF!="Muy Baja",'Administrativo '!#REF!="Catastrófico"),CONCATENATE("R",'Administrativo '!#REF!),"")</f>
        <v>#REF!</v>
      </c>
      <c r="AI44" s="745"/>
      <c r="AJ44" s="745" t="str">
        <f>IF(AND('Administrativo '!$H$14="Muy Baja",'Administrativo '!$L$14="Catastrófico"),CONCATENATE("R",'Administrativo '!$A$14),"")</f>
        <v/>
      </c>
      <c r="AK44" s="745"/>
      <c r="AL44" s="745" t="str">
        <f>IF(AND('Administrativo '!$H$20="Muy Baja",'Administrativo '!$L$20="Catastrófico"),CONCATENATE("R",'Administrativo '!$A$20),"")</f>
        <v/>
      </c>
      <c r="AM44" s="746"/>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row>
    <row r="45" spans="1:80" ht="15.75" thickBot="1" x14ac:dyDescent="0.3">
      <c r="A45" s="73"/>
      <c r="B45" s="773"/>
      <c r="C45" s="773"/>
      <c r="D45" s="774"/>
      <c r="E45" s="769"/>
      <c r="F45" s="770"/>
      <c r="G45" s="770"/>
      <c r="H45" s="770"/>
      <c r="I45" s="771"/>
      <c r="J45" s="729"/>
      <c r="K45" s="730"/>
      <c r="L45" s="730"/>
      <c r="M45" s="730"/>
      <c r="N45" s="730"/>
      <c r="O45" s="731"/>
      <c r="P45" s="729"/>
      <c r="Q45" s="730"/>
      <c r="R45" s="730"/>
      <c r="S45" s="730"/>
      <c r="T45" s="730"/>
      <c r="U45" s="731"/>
      <c r="V45" s="738"/>
      <c r="W45" s="739"/>
      <c r="X45" s="739"/>
      <c r="Y45" s="739"/>
      <c r="Z45" s="739"/>
      <c r="AA45" s="740"/>
      <c r="AB45" s="756"/>
      <c r="AC45" s="757"/>
      <c r="AD45" s="757"/>
      <c r="AE45" s="757"/>
      <c r="AF45" s="757"/>
      <c r="AG45" s="758"/>
      <c r="AH45" s="747"/>
      <c r="AI45" s="748"/>
      <c r="AJ45" s="748"/>
      <c r="AK45" s="748"/>
      <c r="AL45" s="748"/>
      <c r="AM45" s="749"/>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row>
    <row r="46" spans="1:80" x14ac:dyDescent="0.25">
      <c r="A46" s="73"/>
      <c r="B46" s="73"/>
      <c r="C46" s="73"/>
      <c r="D46" s="73"/>
      <c r="E46" s="73"/>
      <c r="F46" s="73"/>
      <c r="G46" s="73"/>
      <c r="H46" s="73"/>
      <c r="I46" s="73"/>
      <c r="J46" s="763" t="s">
        <v>118</v>
      </c>
      <c r="K46" s="764"/>
      <c r="L46" s="764"/>
      <c r="M46" s="764"/>
      <c r="N46" s="764"/>
      <c r="O46" s="765"/>
      <c r="P46" s="763" t="s">
        <v>119</v>
      </c>
      <c r="Q46" s="764"/>
      <c r="R46" s="764"/>
      <c r="S46" s="764"/>
      <c r="T46" s="764"/>
      <c r="U46" s="765"/>
      <c r="V46" s="763" t="s">
        <v>120</v>
      </c>
      <c r="W46" s="764"/>
      <c r="X46" s="764"/>
      <c r="Y46" s="764"/>
      <c r="Z46" s="764"/>
      <c r="AA46" s="765"/>
      <c r="AB46" s="763" t="s">
        <v>121</v>
      </c>
      <c r="AC46" s="772"/>
      <c r="AD46" s="764"/>
      <c r="AE46" s="764"/>
      <c r="AF46" s="764"/>
      <c r="AG46" s="765"/>
      <c r="AH46" s="763" t="s">
        <v>122</v>
      </c>
      <c r="AI46" s="764"/>
      <c r="AJ46" s="764"/>
      <c r="AK46" s="764"/>
      <c r="AL46" s="764"/>
      <c r="AM46" s="765"/>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row>
    <row r="47" spans="1:80" x14ac:dyDescent="0.25">
      <c r="A47" s="73"/>
      <c r="B47" s="73"/>
      <c r="C47" s="73"/>
      <c r="D47" s="73"/>
      <c r="E47" s="73"/>
      <c r="F47" s="73"/>
      <c r="G47" s="73"/>
      <c r="H47" s="73"/>
      <c r="I47" s="73"/>
      <c r="J47" s="766"/>
      <c r="K47" s="767"/>
      <c r="L47" s="767"/>
      <c r="M47" s="767"/>
      <c r="N47" s="767"/>
      <c r="O47" s="768"/>
      <c r="P47" s="766"/>
      <c r="Q47" s="767"/>
      <c r="R47" s="767"/>
      <c r="S47" s="767"/>
      <c r="T47" s="767"/>
      <c r="U47" s="768"/>
      <c r="V47" s="766"/>
      <c r="W47" s="767"/>
      <c r="X47" s="767"/>
      <c r="Y47" s="767"/>
      <c r="Z47" s="767"/>
      <c r="AA47" s="768"/>
      <c r="AB47" s="766"/>
      <c r="AC47" s="767"/>
      <c r="AD47" s="767"/>
      <c r="AE47" s="767"/>
      <c r="AF47" s="767"/>
      <c r="AG47" s="768"/>
      <c r="AH47" s="766"/>
      <c r="AI47" s="767"/>
      <c r="AJ47" s="767"/>
      <c r="AK47" s="767"/>
      <c r="AL47" s="767"/>
      <c r="AM47" s="768"/>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row>
    <row r="48" spans="1:80" x14ac:dyDescent="0.25">
      <c r="A48" s="73"/>
      <c r="B48" s="73"/>
      <c r="C48" s="73"/>
      <c r="D48" s="73"/>
      <c r="E48" s="73"/>
      <c r="F48" s="73"/>
      <c r="G48" s="73"/>
      <c r="H48" s="73"/>
      <c r="I48" s="73"/>
      <c r="J48" s="766"/>
      <c r="K48" s="767"/>
      <c r="L48" s="767"/>
      <c r="M48" s="767"/>
      <c r="N48" s="767"/>
      <c r="O48" s="768"/>
      <c r="P48" s="766"/>
      <c r="Q48" s="767"/>
      <c r="R48" s="767"/>
      <c r="S48" s="767"/>
      <c r="T48" s="767"/>
      <c r="U48" s="768"/>
      <c r="V48" s="766"/>
      <c r="W48" s="767"/>
      <c r="X48" s="767"/>
      <c r="Y48" s="767"/>
      <c r="Z48" s="767"/>
      <c r="AA48" s="768"/>
      <c r="AB48" s="766"/>
      <c r="AC48" s="767"/>
      <c r="AD48" s="767"/>
      <c r="AE48" s="767"/>
      <c r="AF48" s="767"/>
      <c r="AG48" s="768"/>
      <c r="AH48" s="766"/>
      <c r="AI48" s="767"/>
      <c r="AJ48" s="767"/>
      <c r="AK48" s="767"/>
      <c r="AL48" s="767"/>
      <c r="AM48" s="768"/>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row>
    <row r="49" spans="1:80" x14ac:dyDescent="0.25">
      <c r="A49" s="73"/>
      <c r="B49" s="73"/>
      <c r="C49" s="73"/>
      <c r="D49" s="73"/>
      <c r="E49" s="73"/>
      <c r="F49" s="73"/>
      <c r="G49" s="73"/>
      <c r="H49" s="73"/>
      <c r="I49" s="73"/>
      <c r="J49" s="766"/>
      <c r="K49" s="767"/>
      <c r="L49" s="767"/>
      <c r="M49" s="767"/>
      <c r="N49" s="767"/>
      <c r="O49" s="768"/>
      <c r="P49" s="766"/>
      <c r="Q49" s="767"/>
      <c r="R49" s="767"/>
      <c r="S49" s="767"/>
      <c r="T49" s="767"/>
      <c r="U49" s="768"/>
      <c r="V49" s="766"/>
      <c r="W49" s="767"/>
      <c r="X49" s="767"/>
      <c r="Y49" s="767"/>
      <c r="Z49" s="767"/>
      <c r="AA49" s="768"/>
      <c r="AB49" s="766"/>
      <c r="AC49" s="767"/>
      <c r="AD49" s="767"/>
      <c r="AE49" s="767"/>
      <c r="AF49" s="767"/>
      <c r="AG49" s="768"/>
      <c r="AH49" s="766"/>
      <c r="AI49" s="767"/>
      <c r="AJ49" s="767"/>
      <c r="AK49" s="767"/>
      <c r="AL49" s="767"/>
      <c r="AM49" s="768"/>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row>
    <row r="50" spans="1:80" x14ac:dyDescent="0.25">
      <c r="A50" s="73"/>
      <c r="B50" s="73"/>
      <c r="C50" s="73"/>
      <c r="D50" s="73"/>
      <c r="E50" s="73"/>
      <c r="F50" s="73"/>
      <c r="G50" s="73"/>
      <c r="H50" s="73"/>
      <c r="I50" s="73"/>
      <c r="J50" s="766"/>
      <c r="K50" s="767"/>
      <c r="L50" s="767"/>
      <c r="M50" s="767"/>
      <c r="N50" s="767"/>
      <c r="O50" s="768"/>
      <c r="P50" s="766"/>
      <c r="Q50" s="767"/>
      <c r="R50" s="767"/>
      <c r="S50" s="767"/>
      <c r="T50" s="767"/>
      <c r="U50" s="768"/>
      <c r="V50" s="766"/>
      <c r="W50" s="767"/>
      <c r="X50" s="767"/>
      <c r="Y50" s="767"/>
      <c r="Z50" s="767"/>
      <c r="AA50" s="768"/>
      <c r="AB50" s="766"/>
      <c r="AC50" s="767"/>
      <c r="AD50" s="767"/>
      <c r="AE50" s="767"/>
      <c r="AF50" s="767"/>
      <c r="AG50" s="768"/>
      <c r="AH50" s="766"/>
      <c r="AI50" s="767"/>
      <c r="AJ50" s="767"/>
      <c r="AK50" s="767"/>
      <c r="AL50" s="767"/>
      <c r="AM50" s="768"/>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row>
    <row r="51" spans="1:80" ht="15.75" thickBot="1" x14ac:dyDescent="0.3">
      <c r="A51" s="73"/>
      <c r="B51" s="73"/>
      <c r="C51" s="73"/>
      <c r="D51" s="73"/>
      <c r="E51" s="73"/>
      <c r="F51" s="73"/>
      <c r="G51" s="73"/>
      <c r="H51" s="73"/>
      <c r="I51" s="73"/>
      <c r="J51" s="769"/>
      <c r="K51" s="770"/>
      <c r="L51" s="770"/>
      <c r="M51" s="770"/>
      <c r="N51" s="770"/>
      <c r="O51" s="771"/>
      <c r="P51" s="769"/>
      <c r="Q51" s="770"/>
      <c r="R51" s="770"/>
      <c r="S51" s="770"/>
      <c r="T51" s="770"/>
      <c r="U51" s="771"/>
      <c r="V51" s="769"/>
      <c r="W51" s="770"/>
      <c r="X51" s="770"/>
      <c r="Y51" s="770"/>
      <c r="Z51" s="770"/>
      <c r="AA51" s="771"/>
      <c r="AB51" s="769"/>
      <c r="AC51" s="770"/>
      <c r="AD51" s="770"/>
      <c r="AE51" s="770"/>
      <c r="AF51" s="770"/>
      <c r="AG51" s="771"/>
      <c r="AH51" s="769"/>
      <c r="AI51" s="770"/>
      <c r="AJ51" s="770"/>
      <c r="AK51" s="770"/>
      <c r="AL51" s="770"/>
      <c r="AM51" s="771"/>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row>
    <row r="52" spans="1:80" x14ac:dyDescent="0.25">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row>
    <row r="53" spans="1:80" ht="15" customHeight="1" x14ac:dyDescent="0.25">
      <c r="A53" s="73"/>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row>
    <row r="54" spans="1:80" ht="15" customHeight="1" x14ac:dyDescent="0.25">
      <c r="A54" s="73"/>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row>
    <row r="55" spans="1:80" x14ac:dyDescent="0.25">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row>
    <row r="56" spans="1:80" x14ac:dyDescent="0.25">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row>
    <row r="57" spans="1:80" x14ac:dyDescent="0.25">
      <c r="A57" s="73"/>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row>
    <row r="58" spans="1:80" x14ac:dyDescent="0.25">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row>
    <row r="59" spans="1:80" x14ac:dyDescent="0.25">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row>
    <row r="60" spans="1:80" x14ac:dyDescent="0.25">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row>
    <row r="61" spans="1:80" x14ac:dyDescent="0.25">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row>
    <row r="62" spans="1:80" x14ac:dyDescent="0.25">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row>
    <row r="63" spans="1:80" x14ac:dyDescent="0.25">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row>
    <row r="64" spans="1:80" x14ac:dyDescent="0.25">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row>
    <row r="65" spans="1:80" x14ac:dyDescent="0.25">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row>
    <row r="66" spans="1:80" x14ac:dyDescent="0.25">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row>
    <row r="67" spans="1:80" x14ac:dyDescent="0.25">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row>
    <row r="68" spans="1:80" x14ac:dyDescent="0.25">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row>
    <row r="69" spans="1:80" x14ac:dyDescent="0.25">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row>
    <row r="70" spans="1:80" x14ac:dyDescent="0.25">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row>
    <row r="71" spans="1:80" x14ac:dyDescent="0.25">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row>
    <row r="72" spans="1:80" x14ac:dyDescent="0.25">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row>
    <row r="73" spans="1:80" x14ac:dyDescent="0.25">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row>
    <row r="74" spans="1:80" x14ac:dyDescent="0.2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row>
    <row r="75" spans="1:80" x14ac:dyDescent="0.2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row>
    <row r="76" spans="1:80" x14ac:dyDescent="0.2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row>
    <row r="77" spans="1:80" x14ac:dyDescent="0.2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row>
    <row r="78" spans="1:80" x14ac:dyDescent="0.2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row>
    <row r="79" spans="1:80" x14ac:dyDescent="0.2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row>
    <row r="80" spans="1:80" x14ac:dyDescent="0.2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row>
    <row r="81" spans="1:63" x14ac:dyDescent="0.2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row>
    <row r="82" spans="1:63" x14ac:dyDescent="0.2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row>
    <row r="83" spans="1:63" x14ac:dyDescent="0.2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row>
    <row r="84" spans="1:63" x14ac:dyDescent="0.2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row>
    <row r="85" spans="1:63" x14ac:dyDescent="0.2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row>
    <row r="86" spans="1:63" x14ac:dyDescent="0.2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row>
    <row r="87" spans="1:63" x14ac:dyDescent="0.2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row>
    <row r="88" spans="1:63" x14ac:dyDescent="0.2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row>
    <row r="89" spans="1:63" x14ac:dyDescent="0.2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row>
    <row r="90" spans="1:63" x14ac:dyDescent="0.2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row>
    <row r="91" spans="1:63" x14ac:dyDescent="0.2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row>
    <row r="92" spans="1:63" x14ac:dyDescent="0.2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row>
    <row r="93" spans="1:63" x14ac:dyDescent="0.2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row>
    <row r="94" spans="1:63" x14ac:dyDescent="0.2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row>
    <row r="95" spans="1:63" x14ac:dyDescent="0.2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row>
    <row r="96" spans="1:63" x14ac:dyDescent="0.2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row>
    <row r="97" spans="1:63" x14ac:dyDescent="0.2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row>
    <row r="98" spans="1:63" x14ac:dyDescent="0.2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row>
    <row r="99" spans="1:63" x14ac:dyDescent="0.2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row>
    <row r="100" spans="1:63" x14ac:dyDescent="0.2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row>
    <row r="101" spans="1:63" x14ac:dyDescent="0.2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3"/>
      <c r="AZ101" s="73"/>
      <c r="BA101" s="73"/>
      <c r="BB101" s="73"/>
      <c r="BC101" s="73"/>
      <c r="BD101" s="73"/>
      <c r="BE101" s="73"/>
      <c r="BF101" s="73"/>
      <c r="BG101" s="73"/>
      <c r="BH101" s="73"/>
      <c r="BI101" s="73"/>
      <c r="BJ101" s="73"/>
      <c r="BK101" s="73"/>
    </row>
    <row r="102" spans="1:63" x14ac:dyDescent="0.2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c r="AU102" s="73"/>
      <c r="AV102" s="73"/>
      <c r="AW102" s="73"/>
      <c r="AX102" s="73"/>
      <c r="AY102" s="73"/>
      <c r="AZ102" s="73"/>
      <c r="BA102" s="73"/>
      <c r="BB102" s="73"/>
      <c r="BC102" s="73"/>
      <c r="BD102" s="73"/>
      <c r="BE102" s="73"/>
      <c r="BF102" s="73"/>
      <c r="BG102" s="73"/>
      <c r="BH102" s="73"/>
      <c r="BI102" s="73"/>
      <c r="BJ102" s="73"/>
      <c r="BK102" s="73"/>
    </row>
    <row r="103" spans="1:63" x14ac:dyDescent="0.2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3"/>
      <c r="AZ103" s="73"/>
      <c r="BA103" s="73"/>
      <c r="BB103" s="73"/>
      <c r="BC103" s="73"/>
      <c r="BD103" s="73"/>
      <c r="BE103" s="73"/>
      <c r="BF103" s="73"/>
      <c r="BG103" s="73"/>
      <c r="BH103" s="73"/>
      <c r="BI103" s="73"/>
      <c r="BJ103" s="73"/>
      <c r="BK103" s="73"/>
    </row>
    <row r="104" spans="1:63" x14ac:dyDescent="0.2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c r="AW104" s="73"/>
      <c r="AX104" s="73"/>
      <c r="AY104" s="73"/>
      <c r="AZ104" s="73"/>
      <c r="BA104" s="73"/>
      <c r="BB104" s="73"/>
      <c r="BC104" s="73"/>
      <c r="BD104" s="73"/>
      <c r="BE104" s="73"/>
      <c r="BF104" s="73"/>
      <c r="BG104" s="73"/>
      <c r="BH104" s="73"/>
      <c r="BI104" s="73"/>
      <c r="BJ104" s="73"/>
      <c r="BK104" s="73"/>
    </row>
    <row r="105" spans="1:63" x14ac:dyDescent="0.2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3"/>
      <c r="AZ105" s="73"/>
      <c r="BA105" s="73"/>
      <c r="BB105" s="73"/>
      <c r="BC105" s="73"/>
      <c r="BD105" s="73"/>
      <c r="BE105" s="73"/>
      <c r="BF105" s="73"/>
      <c r="BG105" s="73"/>
      <c r="BH105" s="73"/>
      <c r="BI105" s="73"/>
      <c r="BJ105" s="73"/>
      <c r="BK105" s="73"/>
    </row>
    <row r="106" spans="1:63" x14ac:dyDescent="0.2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73"/>
      <c r="BE106" s="73"/>
      <c r="BF106" s="73"/>
      <c r="BG106" s="73"/>
      <c r="BH106" s="73"/>
      <c r="BI106" s="73"/>
      <c r="BJ106" s="73"/>
      <c r="BK106" s="73"/>
    </row>
    <row r="107" spans="1:63" x14ac:dyDescent="0.2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c r="AV107" s="73"/>
      <c r="AW107" s="73"/>
      <c r="AX107" s="73"/>
      <c r="AY107" s="73"/>
      <c r="AZ107" s="73"/>
      <c r="BA107" s="73"/>
      <c r="BB107" s="73"/>
      <c r="BC107" s="73"/>
      <c r="BD107" s="73"/>
      <c r="BE107" s="73"/>
      <c r="BF107" s="73"/>
      <c r="BG107" s="73"/>
      <c r="BH107" s="73"/>
      <c r="BI107" s="73"/>
      <c r="BJ107" s="73"/>
      <c r="BK107" s="73"/>
    </row>
    <row r="108" spans="1:63" x14ac:dyDescent="0.2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c r="AU108" s="73"/>
      <c r="AV108" s="73"/>
      <c r="AW108" s="73"/>
      <c r="AX108" s="73"/>
      <c r="AY108" s="73"/>
      <c r="AZ108" s="73"/>
      <c r="BA108" s="73"/>
      <c r="BB108" s="73"/>
      <c r="BC108" s="73"/>
      <c r="BD108" s="73"/>
      <c r="BE108" s="73"/>
      <c r="BF108" s="73"/>
      <c r="BG108" s="73"/>
      <c r="BH108" s="73"/>
      <c r="BI108" s="73"/>
      <c r="BJ108" s="73"/>
      <c r="BK108" s="73"/>
    </row>
    <row r="109" spans="1:63" x14ac:dyDescent="0.2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c r="AU109" s="73"/>
      <c r="AV109" s="73"/>
      <c r="AW109" s="73"/>
      <c r="AX109" s="73"/>
      <c r="AY109" s="73"/>
      <c r="AZ109" s="73"/>
      <c r="BA109" s="73"/>
      <c r="BB109" s="73"/>
      <c r="BC109" s="73"/>
      <c r="BD109" s="73"/>
      <c r="BE109" s="73"/>
      <c r="BF109" s="73"/>
      <c r="BG109" s="73"/>
      <c r="BH109" s="73"/>
      <c r="BI109" s="73"/>
      <c r="BJ109" s="73"/>
      <c r="BK109" s="73"/>
    </row>
    <row r="110" spans="1:63" x14ac:dyDescent="0.2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c r="AU110" s="73"/>
      <c r="AV110" s="73"/>
      <c r="AW110" s="73"/>
      <c r="AX110" s="73"/>
      <c r="AY110" s="73"/>
      <c r="AZ110" s="73"/>
      <c r="BA110" s="73"/>
      <c r="BB110" s="73"/>
      <c r="BC110" s="73"/>
      <c r="BD110" s="73"/>
      <c r="BE110" s="73"/>
      <c r="BF110" s="73"/>
      <c r="BG110" s="73"/>
      <c r="BH110" s="73"/>
      <c r="BI110" s="73"/>
      <c r="BJ110" s="73"/>
      <c r="BK110" s="73"/>
    </row>
    <row r="111" spans="1:63" x14ac:dyDescent="0.2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73"/>
      <c r="AV111" s="73"/>
      <c r="AW111" s="73"/>
      <c r="AX111" s="73"/>
      <c r="AY111" s="73"/>
      <c r="AZ111" s="73"/>
      <c r="BA111" s="73"/>
      <c r="BB111" s="73"/>
      <c r="BC111" s="73"/>
      <c r="BD111" s="73"/>
      <c r="BE111" s="73"/>
      <c r="BF111" s="73"/>
      <c r="BG111" s="73"/>
      <c r="BH111" s="73"/>
      <c r="BI111" s="73"/>
      <c r="BJ111" s="73"/>
      <c r="BK111" s="73"/>
    </row>
    <row r="112" spans="1:63" x14ac:dyDescent="0.2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c r="AU112" s="73"/>
      <c r="AV112" s="73"/>
      <c r="AW112" s="73"/>
      <c r="AX112" s="73"/>
      <c r="AY112" s="73"/>
      <c r="AZ112" s="73"/>
      <c r="BA112" s="73"/>
      <c r="BB112" s="73"/>
      <c r="BC112" s="73"/>
      <c r="BD112" s="73"/>
      <c r="BE112" s="73"/>
      <c r="BF112" s="73"/>
      <c r="BG112" s="73"/>
      <c r="BH112" s="73"/>
      <c r="BI112" s="73"/>
      <c r="BJ112" s="73"/>
      <c r="BK112" s="73"/>
    </row>
    <row r="113" spans="1:63" x14ac:dyDescent="0.2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73"/>
      <c r="AX113" s="73"/>
      <c r="AY113" s="73"/>
      <c r="AZ113" s="73"/>
      <c r="BA113" s="73"/>
      <c r="BB113" s="73"/>
      <c r="BC113" s="73"/>
      <c r="BD113" s="73"/>
      <c r="BE113" s="73"/>
      <c r="BF113" s="73"/>
      <c r="BG113" s="73"/>
      <c r="BH113" s="73"/>
      <c r="BI113" s="73"/>
      <c r="BJ113" s="73"/>
      <c r="BK113" s="73"/>
    </row>
    <row r="114" spans="1:63" x14ac:dyDescent="0.2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c r="BE114" s="73"/>
      <c r="BF114" s="73"/>
      <c r="BG114" s="73"/>
      <c r="BH114" s="73"/>
      <c r="BI114" s="73"/>
      <c r="BJ114" s="73"/>
      <c r="BK114" s="73"/>
    </row>
    <row r="115" spans="1:63" x14ac:dyDescent="0.2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c r="BE115" s="73"/>
      <c r="BF115" s="73"/>
      <c r="BG115" s="73"/>
      <c r="BH115" s="73"/>
      <c r="BI115" s="73"/>
      <c r="BJ115" s="73"/>
      <c r="BK115" s="73"/>
    </row>
    <row r="116" spans="1:63" x14ac:dyDescent="0.2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c r="BE116" s="73"/>
      <c r="BF116" s="73"/>
      <c r="BG116" s="73"/>
      <c r="BH116" s="73"/>
      <c r="BI116" s="73"/>
      <c r="BJ116" s="73"/>
      <c r="BK116" s="73"/>
    </row>
    <row r="117" spans="1:63" x14ac:dyDescent="0.2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c r="BE117" s="73"/>
      <c r="BF117" s="73"/>
      <c r="BG117" s="73"/>
      <c r="BH117" s="73"/>
      <c r="BI117" s="73"/>
      <c r="BJ117" s="73"/>
      <c r="BK117" s="73"/>
    </row>
    <row r="118" spans="1:63" x14ac:dyDescent="0.2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c r="BE118" s="73"/>
      <c r="BF118" s="73"/>
      <c r="BG118" s="73"/>
      <c r="BH118" s="73"/>
      <c r="BI118" s="73"/>
      <c r="BJ118" s="73"/>
      <c r="BK118" s="73"/>
    </row>
    <row r="119" spans="1:63" x14ac:dyDescent="0.2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73"/>
      <c r="BG119" s="73"/>
      <c r="BH119" s="73"/>
      <c r="BI119" s="73"/>
      <c r="BJ119" s="73"/>
      <c r="BK119" s="73"/>
    </row>
    <row r="120" spans="1:63" x14ac:dyDescent="0.2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c r="BE120" s="73"/>
      <c r="BF120" s="73"/>
      <c r="BG120" s="73"/>
      <c r="BH120" s="73"/>
      <c r="BI120" s="73"/>
      <c r="BJ120" s="73"/>
      <c r="BK120" s="73"/>
    </row>
    <row r="121" spans="1:63" x14ac:dyDescent="0.2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c r="BE121" s="73"/>
      <c r="BF121" s="73"/>
      <c r="BG121" s="73"/>
      <c r="BH121" s="73"/>
      <c r="BI121" s="73"/>
      <c r="BJ121" s="73"/>
      <c r="BK121" s="73"/>
    </row>
    <row r="122" spans="1:63" x14ac:dyDescent="0.25">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c r="BE122" s="73"/>
      <c r="BF122" s="73"/>
      <c r="BG122" s="73"/>
      <c r="BH122" s="73"/>
      <c r="BI122" s="73"/>
      <c r="BJ122" s="73"/>
      <c r="BK122" s="73"/>
    </row>
    <row r="123" spans="1:63" x14ac:dyDescent="0.25">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c r="BE123" s="73"/>
      <c r="BF123" s="73"/>
      <c r="BG123" s="73"/>
      <c r="BH123" s="73"/>
      <c r="BI123" s="73"/>
      <c r="BJ123" s="73"/>
      <c r="BK123" s="73"/>
    </row>
    <row r="124" spans="1:63" x14ac:dyDescent="0.25">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c r="BE124" s="73"/>
      <c r="BF124" s="73"/>
      <c r="BG124" s="73"/>
      <c r="BH124" s="73"/>
      <c r="BI124" s="73"/>
      <c r="BJ124" s="73"/>
      <c r="BK124" s="73"/>
    </row>
    <row r="125" spans="1:63" x14ac:dyDescent="0.25">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c r="BE125" s="73"/>
      <c r="BF125" s="73"/>
      <c r="BG125" s="73"/>
      <c r="BH125" s="73"/>
      <c r="BI125" s="73"/>
      <c r="BJ125" s="73"/>
      <c r="BK125" s="73"/>
    </row>
    <row r="126" spans="1:63" x14ac:dyDescent="0.25">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c r="BE126" s="73"/>
      <c r="BF126" s="73"/>
      <c r="BG126" s="73"/>
      <c r="BH126" s="73"/>
      <c r="BI126" s="73"/>
      <c r="BJ126" s="73"/>
      <c r="BK126" s="73"/>
    </row>
    <row r="127" spans="1:63" x14ac:dyDescent="0.25">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c r="BE127" s="73"/>
      <c r="BF127" s="73"/>
      <c r="BG127" s="73"/>
      <c r="BH127" s="73"/>
      <c r="BI127" s="73"/>
      <c r="BJ127" s="73"/>
      <c r="BK127" s="73"/>
    </row>
    <row r="128" spans="1:63" x14ac:dyDescent="0.25">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c r="BE128" s="73"/>
      <c r="BF128" s="73"/>
      <c r="BG128" s="73"/>
      <c r="BH128" s="73"/>
      <c r="BI128" s="73"/>
      <c r="BJ128" s="73"/>
      <c r="BK128" s="73"/>
    </row>
    <row r="129" spans="2:63" x14ac:dyDescent="0.25">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c r="BE129" s="73"/>
      <c r="BF129" s="73"/>
      <c r="BG129" s="73"/>
      <c r="BH129" s="73"/>
      <c r="BI129" s="73"/>
      <c r="BJ129" s="73"/>
      <c r="BK129" s="73"/>
    </row>
    <row r="130" spans="2:63" x14ac:dyDescent="0.25">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c r="BE130" s="73"/>
      <c r="BF130" s="73"/>
      <c r="BG130" s="73"/>
      <c r="BH130" s="73"/>
      <c r="BI130" s="73"/>
      <c r="BJ130" s="73"/>
      <c r="BK130" s="73"/>
    </row>
    <row r="131" spans="2:63" x14ac:dyDescent="0.25">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c r="BI131" s="73"/>
      <c r="BJ131" s="73"/>
      <c r="BK131" s="73"/>
    </row>
    <row r="132" spans="2:63" x14ac:dyDescent="0.25">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73"/>
      <c r="BI132" s="73"/>
      <c r="BJ132" s="73"/>
      <c r="BK132" s="73"/>
    </row>
    <row r="133" spans="2:63" x14ac:dyDescent="0.25">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73"/>
      <c r="BI133" s="73"/>
      <c r="BJ133" s="73"/>
      <c r="BK133" s="73"/>
    </row>
    <row r="134" spans="2:63" x14ac:dyDescent="0.25">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c r="BG134" s="73"/>
      <c r="BH134" s="73"/>
      <c r="BI134" s="73"/>
      <c r="BJ134" s="73"/>
      <c r="BK134" s="73"/>
    </row>
    <row r="135" spans="2:63" x14ac:dyDescent="0.25">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c r="BG135" s="73"/>
      <c r="BH135" s="73"/>
      <c r="BI135" s="73"/>
      <c r="BJ135" s="73"/>
      <c r="BK135" s="73"/>
    </row>
    <row r="136" spans="2:63" x14ac:dyDescent="0.25">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row>
    <row r="137" spans="2:63" x14ac:dyDescent="0.25">
      <c r="B137" s="73"/>
      <c r="C137" s="73"/>
      <c r="D137" s="73"/>
      <c r="E137" s="73"/>
      <c r="F137" s="73"/>
      <c r="G137" s="73"/>
      <c r="H137" s="73"/>
      <c r="I137" s="73"/>
    </row>
    <row r="138" spans="2:63" x14ac:dyDescent="0.25">
      <c r="B138" s="73"/>
      <c r="C138" s="73"/>
      <c r="D138" s="73"/>
      <c r="E138" s="73"/>
      <c r="F138" s="73"/>
      <c r="G138" s="73"/>
      <c r="H138" s="73"/>
      <c r="I138" s="73"/>
    </row>
    <row r="139" spans="2:63" x14ac:dyDescent="0.25">
      <c r="B139" s="73"/>
      <c r="C139" s="73"/>
      <c r="D139" s="73"/>
      <c r="E139" s="73"/>
      <c r="F139" s="73"/>
      <c r="G139" s="73"/>
      <c r="H139" s="73"/>
      <c r="I139" s="73"/>
    </row>
    <row r="140" spans="2:63" x14ac:dyDescent="0.25">
      <c r="B140" s="73"/>
      <c r="C140" s="73"/>
      <c r="D140" s="73"/>
      <c r="E140" s="73"/>
      <c r="F140" s="73"/>
      <c r="G140" s="73"/>
      <c r="H140" s="73"/>
      <c r="I140" s="73"/>
    </row>
  </sheetData>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CM248"/>
  <sheetViews>
    <sheetView zoomScale="50" zoomScaleNormal="50" workbookViewId="0">
      <selection activeCell="J6" sqref="J6"/>
    </sheetView>
  </sheetViews>
  <sheetFormatPr baseColWidth="10" defaultColWidth="11.28515625" defaultRowHeight="15" x14ac:dyDescent="0.25"/>
  <cols>
    <col min="2" max="18" width="5.85546875" customWidth="1"/>
    <col min="19" max="19" width="8.28515625" customWidth="1"/>
    <col min="20" max="23" width="5.85546875" customWidth="1"/>
    <col min="24" max="24" width="8.28515625" customWidth="1"/>
    <col min="25" max="26" width="5.85546875" customWidth="1"/>
    <col min="27" max="27" width="10.85546875" customWidth="1"/>
    <col min="28" max="28" width="5.85546875" customWidth="1"/>
    <col min="29" max="29" width="7.28515625" customWidth="1"/>
    <col min="30" max="33" width="5.85546875" customWidth="1"/>
    <col min="34" max="34" width="8.28515625" customWidth="1"/>
    <col min="35" max="39" width="5.85546875" customWidth="1"/>
    <col min="41" max="46" width="5.85546875" customWidth="1"/>
  </cols>
  <sheetData>
    <row r="1" spans="1:91" x14ac:dyDescent="0.25">
      <c r="A1" s="73"/>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row>
    <row r="2" spans="1:91" ht="18" customHeight="1" x14ac:dyDescent="0.25">
      <c r="A2" s="73"/>
      <c r="B2" s="840" t="s">
        <v>123</v>
      </c>
      <c r="C2" s="841"/>
      <c r="D2" s="841"/>
      <c r="E2" s="841"/>
      <c r="F2" s="841"/>
      <c r="G2" s="841"/>
      <c r="H2" s="841"/>
      <c r="I2" s="841"/>
      <c r="J2" s="762" t="s">
        <v>15</v>
      </c>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M2" s="762"/>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row>
    <row r="3" spans="1:91" ht="18.75" customHeight="1" x14ac:dyDescent="0.25">
      <c r="A3" s="73"/>
      <c r="B3" s="841"/>
      <c r="C3" s="841"/>
      <c r="D3" s="841"/>
      <c r="E3" s="841"/>
      <c r="F3" s="841"/>
      <c r="G3" s="841"/>
      <c r="H3" s="841"/>
      <c r="I3" s="841"/>
      <c r="J3" s="762"/>
      <c r="K3" s="762"/>
      <c r="L3" s="762"/>
      <c r="M3" s="762"/>
      <c r="N3" s="762"/>
      <c r="O3" s="762"/>
      <c r="P3" s="762"/>
      <c r="Q3" s="762"/>
      <c r="R3" s="762"/>
      <c r="S3" s="762"/>
      <c r="T3" s="762"/>
      <c r="U3" s="762"/>
      <c r="V3" s="762"/>
      <c r="W3" s="762"/>
      <c r="X3" s="762"/>
      <c r="Y3" s="762"/>
      <c r="Z3" s="762"/>
      <c r="AA3" s="762"/>
      <c r="AB3" s="762"/>
      <c r="AC3" s="762"/>
      <c r="AD3" s="762"/>
      <c r="AE3" s="762"/>
      <c r="AF3" s="762"/>
      <c r="AG3" s="762"/>
      <c r="AH3" s="762"/>
      <c r="AI3" s="762"/>
      <c r="AJ3" s="762"/>
      <c r="AK3" s="762"/>
      <c r="AL3" s="762"/>
      <c r="AM3" s="762"/>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row>
    <row r="4" spans="1:91" ht="15" customHeight="1" x14ac:dyDescent="0.25">
      <c r="A4" s="73"/>
      <c r="B4" s="841"/>
      <c r="C4" s="841"/>
      <c r="D4" s="841"/>
      <c r="E4" s="841"/>
      <c r="F4" s="841"/>
      <c r="G4" s="841"/>
      <c r="H4" s="841"/>
      <c r="I4" s="841"/>
      <c r="J4" s="762"/>
      <c r="K4" s="762"/>
      <c r="L4" s="762"/>
      <c r="M4" s="762"/>
      <c r="N4" s="762"/>
      <c r="O4" s="762"/>
      <c r="P4" s="762"/>
      <c r="Q4" s="762"/>
      <c r="R4" s="762"/>
      <c r="S4" s="762"/>
      <c r="T4" s="762"/>
      <c r="U4" s="762"/>
      <c r="V4" s="762"/>
      <c r="W4" s="762"/>
      <c r="X4" s="762"/>
      <c r="Y4" s="762"/>
      <c r="Z4" s="762"/>
      <c r="AA4" s="762"/>
      <c r="AB4" s="762"/>
      <c r="AC4" s="762"/>
      <c r="AD4" s="762"/>
      <c r="AE4" s="762"/>
      <c r="AF4" s="762"/>
      <c r="AG4" s="762"/>
      <c r="AH4" s="762"/>
      <c r="AI4" s="762"/>
      <c r="AJ4" s="762"/>
      <c r="AK4" s="762"/>
      <c r="AL4" s="762"/>
      <c r="AM4" s="762"/>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row>
    <row r="5" spans="1:91" ht="15.75" thickBot="1" x14ac:dyDescent="0.3">
      <c r="A5" s="73"/>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row>
    <row r="6" spans="1:91" ht="15" customHeight="1" x14ac:dyDescent="0.25">
      <c r="A6" s="73"/>
      <c r="B6" s="773" t="s">
        <v>108</v>
      </c>
      <c r="C6" s="773"/>
      <c r="D6" s="774"/>
      <c r="E6" s="811" t="s">
        <v>109</v>
      </c>
      <c r="F6" s="812"/>
      <c r="G6" s="812"/>
      <c r="H6" s="812"/>
      <c r="I6" s="813"/>
      <c r="J6" s="36" t="str">
        <f>IF(AND('Administrativo '!$Y$10="Muy Alta",'Administrativo '!$AA$10="Leve"),CONCATENATE("R1C",'Administrativo '!$O$10),"")</f>
        <v/>
      </c>
      <c r="K6" s="37" t="str">
        <f>IF(AND('Administrativo '!$Y$11="Muy Alta",'Administrativo '!$AA$11="Leve"),CONCATENATE("R1C",'Administrativo '!$O$11),"")</f>
        <v/>
      </c>
      <c r="L6" s="37" t="e">
        <f>IF(AND('Administrativo '!#REF!="Muy Alta",'Administrativo '!#REF!="Leve"),CONCATENATE("R1C",'Administrativo '!#REF!),"")</f>
        <v>#REF!</v>
      </c>
      <c r="M6" s="37" t="e">
        <f>IF(AND('Administrativo '!#REF!="Muy Alta",'Administrativo '!#REF!="Leve"),CONCATENATE("R1C",'Administrativo '!#REF!),"")</f>
        <v>#REF!</v>
      </c>
      <c r="N6" s="37" t="e">
        <f>IF(AND('Administrativo '!#REF!="Muy Alta",'Administrativo '!#REF!="Leve"),CONCATENATE("R1C",'Administrativo '!#REF!),"")</f>
        <v>#REF!</v>
      </c>
      <c r="O6" s="38" t="e">
        <f>IF(AND('Administrativo '!#REF!="Muy Alta",'Administrativo '!#REF!="Leve"),CONCATENATE("R1C",'Administrativo '!#REF!),"")</f>
        <v>#REF!</v>
      </c>
      <c r="P6" s="36" t="str">
        <f>IF(AND('Administrativo '!$Y$10="Muy Alta",'Administrativo '!$AA$10="Menor"),CONCATENATE("R1C",'Administrativo '!$O$10),"")</f>
        <v/>
      </c>
      <c r="Q6" s="37" t="str">
        <f>IF(AND('Administrativo '!$Y$11="Muy Alta",'Administrativo '!$AA$11="Menor"),CONCATENATE("R1C",'Administrativo '!$O$11),"")</f>
        <v/>
      </c>
      <c r="R6" s="37" t="e">
        <f>IF(AND('Administrativo '!#REF!="Muy Alta",'Administrativo '!#REF!="Menor"),CONCATENATE("R1C",'Administrativo '!#REF!),"")</f>
        <v>#REF!</v>
      </c>
      <c r="S6" s="37" t="e">
        <f>IF(AND('Administrativo '!#REF!="Muy Alta",'Administrativo '!#REF!="Menor"),CONCATENATE("R1C",'Administrativo '!#REF!),"")</f>
        <v>#REF!</v>
      </c>
      <c r="T6" s="37" t="e">
        <f>IF(AND('Administrativo '!#REF!="Muy Alta",'Administrativo '!#REF!="Menor"),CONCATENATE("R1C",'Administrativo '!#REF!),"")</f>
        <v>#REF!</v>
      </c>
      <c r="U6" s="38" t="e">
        <f>IF(AND('Administrativo '!#REF!="Muy Alta",'Administrativo '!#REF!="Menor"),CONCATENATE("R1C",'Administrativo '!#REF!),"")</f>
        <v>#REF!</v>
      </c>
      <c r="V6" s="36" t="str">
        <f>IF(AND('Administrativo '!$Y$10="Muy Alta",'Administrativo '!$AA$10="Moderado"),CONCATENATE("R1C",'Administrativo '!$O$10),"")</f>
        <v/>
      </c>
      <c r="W6" s="37" t="str">
        <f>IF(AND('Administrativo '!$Y$11="Muy Alta",'Administrativo '!$AA$11="Moderado"),CONCATENATE("R1C",'Administrativo '!$O$11),"")</f>
        <v/>
      </c>
      <c r="X6" s="37" t="e">
        <f>IF(AND('Administrativo '!#REF!="Muy Alta",'Administrativo '!#REF!="Moderado"),CONCATENATE("R1C",'Administrativo '!#REF!),"")</f>
        <v>#REF!</v>
      </c>
      <c r="Y6" s="37" t="e">
        <f>IF(AND('Administrativo '!#REF!="Muy Alta",'Administrativo '!#REF!="Moderado"),CONCATENATE("R1C",'Administrativo '!#REF!),"")</f>
        <v>#REF!</v>
      </c>
      <c r="Z6" s="37" t="e">
        <f>IF(AND('Administrativo '!#REF!="Muy Alta",'Administrativo '!#REF!="Moderado"),CONCATENATE("R1C",'Administrativo '!#REF!),"")</f>
        <v>#REF!</v>
      </c>
      <c r="AA6" s="38" t="e">
        <f>IF(AND('Administrativo '!#REF!="Muy Alta",'Administrativo '!#REF!="Moderado"),CONCATENATE("R1C",'Administrativo '!#REF!),"")</f>
        <v>#REF!</v>
      </c>
      <c r="AB6" s="36" t="str">
        <f>IF(AND('Administrativo '!$Y$10="Muy Alta",'Administrativo '!$AA$10="Mayor"),CONCATENATE("R1C",'Administrativo '!$O$10),"")</f>
        <v/>
      </c>
      <c r="AC6" s="37" t="str">
        <f>IF(AND('Administrativo '!$Y$11="Muy Alta",'Administrativo '!$AA$11="Mayor"),CONCATENATE("R1C",'Administrativo '!$O$11),"")</f>
        <v/>
      </c>
      <c r="AD6" s="37" t="e">
        <f>IF(AND('Administrativo '!#REF!="Muy Alta",'Administrativo '!#REF!="Mayor"),CONCATENATE("R1C",'Administrativo '!#REF!),"")</f>
        <v>#REF!</v>
      </c>
      <c r="AE6" s="37" t="e">
        <f>IF(AND('Administrativo '!#REF!="Muy Alta",'Administrativo '!#REF!="Mayor"),CONCATENATE("R1C",'Administrativo '!#REF!),"")</f>
        <v>#REF!</v>
      </c>
      <c r="AF6" s="37" t="e">
        <f>IF(AND('Administrativo '!#REF!="Muy Alta",'Administrativo '!#REF!="Mayor"),CONCATENATE("R1C",'Administrativo '!#REF!),"")</f>
        <v>#REF!</v>
      </c>
      <c r="AG6" s="38" t="e">
        <f>IF(AND('Administrativo '!#REF!="Muy Alta",'Administrativo '!#REF!="Mayor"),CONCATENATE("R1C",'Administrativo '!#REF!),"")</f>
        <v>#REF!</v>
      </c>
      <c r="AH6" s="39" t="str">
        <f>IF(AND('Administrativo '!$Y$10="Muy Alta",'Administrativo '!$AA$10="Catastrófico"),CONCATENATE("R1C",'Administrativo '!$O$10),"")</f>
        <v/>
      </c>
      <c r="AI6" s="40" t="str">
        <f>IF(AND('Administrativo '!$Y$11="Muy Alta",'Administrativo '!$AA$11="Catastrófico"),CONCATENATE("R1C",'Administrativo '!$O$11),"")</f>
        <v/>
      </c>
      <c r="AJ6" s="40" t="e">
        <f>IF(AND('Administrativo '!#REF!="Muy Alta",'Administrativo '!#REF!="Catastrófico"),CONCATENATE("R1C",'Administrativo '!#REF!),"")</f>
        <v>#REF!</v>
      </c>
      <c r="AK6" s="40" t="e">
        <f>IF(AND('Administrativo '!#REF!="Muy Alta",'Administrativo '!#REF!="Catastrófico"),CONCATENATE("R1C",'Administrativo '!#REF!),"")</f>
        <v>#REF!</v>
      </c>
      <c r="AL6" s="40" t="e">
        <f>IF(AND('Administrativo '!#REF!="Muy Alta",'Administrativo '!#REF!="Catastrófico"),CONCATENATE("R1C",'Administrativo '!#REF!),"")</f>
        <v>#REF!</v>
      </c>
      <c r="AM6" s="41" t="e">
        <f>IF(AND('Administrativo '!#REF!="Muy Alta",'Administrativo '!#REF!="Catastrófico"),CONCATENATE("R1C",'Administrativo '!#REF!),"")</f>
        <v>#REF!</v>
      </c>
      <c r="AN6" s="73"/>
      <c r="AO6" s="831" t="s">
        <v>110</v>
      </c>
      <c r="AP6" s="832"/>
      <c r="AQ6" s="832"/>
      <c r="AR6" s="832"/>
      <c r="AS6" s="832"/>
      <c r="AT6" s="83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row>
    <row r="7" spans="1:91" ht="15" customHeight="1" x14ac:dyDescent="0.25">
      <c r="A7" s="73"/>
      <c r="B7" s="773"/>
      <c r="C7" s="773"/>
      <c r="D7" s="774"/>
      <c r="E7" s="814"/>
      <c r="F7" s="815"/>
      <c r="G7" s="815"/>
      <c r="H7" s="815"/>
      <c r="I7" s="816"/>
      <c r="J7" s="42" t="e">
        <f>IF(AND('Administrativo '!#REF!="Muy Alta",'Administrativo '!#REF!="Leve"),CONCATENATE("R2C",'Administrativo '!#REF!),"")</f>
        <v>#REF!</v>
      </c>
      <c r="K7" s="43" t="e">
        <f>IF(AND('Administrativo '!#REF!="Muy Alta",'Administrativo '!#REF!="Leve"),CONCATENATE("R2C",'Administrativo '!#REF!),"")</f>
        <v>#REF!</v>
      </c>
      <c r="L7" s="43" t="e">
        <f>IF(AND('Administrativo '!#REF!="Muy Alta",'Administrativo '!#REF!="Leve"),CONCATENATE("R2C",'Administrativo '!#REF!),"")</f>
        <v>#REF!</v>
      </c>
      <c r="M7" s="43" t="e">
        <f>IF(AND('Administrativo '!#REF!="Muy Alta",'Administrativo '!#REF!="Leve"),CONCATENATE("R2C",'Administrativo '!#REF!),"")</f>
        <v>#REF!</v>
      </c>
      <c r="N7" s="43" t="e">
        <f>IF(AND('Administrativo '!#REF!="Muy Alta",'Administrativo '!#REF!="Leve"),CONCATENATE("R2C",'Administrativo '!#REF!),"")</f>
        <v>#REF!</v>
      </c>
      <c r="O7" s="44" t="e">
        <f>IF(AND('Administrativo '!#REF!="Muy Alta",'Administrativo '!#REF!="Leve"),CONCATENATE("R2C",'Administrativo '!#REF!),"")</f>
        <v>#REF!</v>
      </c>
      <c r="P7" s="42" t="e">
        <f>IF(AND('Administrativo '!#REF!="Muy Alta",'Administrativo '!#REF!="Menor"),CONCATENATE("R2C",'Administrativo '!#REF!),"")</f>
        <v>#REF!</v>
      </c>
      <c r="Q7" s="43" t="e">
        <f>IF(AND('Administrativo '!#REF!="Muy Alta",'Administrativo '!#REF!="Menor"),CONCATENATE("R2C",'Administrativo '!#REF!),"")</f>
        <v>#REF!</v>
      </c>
      <c r="R7" s="43" t="e">
        <f>IF(AND('Administrativo '!#REF!="Muy Alta",'Administrativo '!#REF!="Menor"),CONCATENATE("R2C",'Administrativo '!#REF!),"")</f>
        <v>#REF!</v>
      </c>
      <c r="S7" s="43" t="e">
        <f>IF(AND('Administrativo '!#REF!="Muy Alta",'Administrativo '!#REF!="Menor"),CONCATENATE("R2C",'Administrativo '!#REF!),"")</f>
        <v>#REF!</v>
      </c>
      <c r="T7" s="43" t="e">
        <f>IF(AND('Administrativo '!#REF!="Muy Alta",'Administrativo '!#REF!="Menor"),CONCATENATE("R2C",'Administrativo '!#REF!),"")</f>
        <v>#REF!</v>
      </c>
      <c r="U7" s="44" t="e">
        <f>IF(AND('Administrativo '!#REF!="Muy Alta",'Administrativo '!#REF!="Menor"),CONCATENATE("R2C",'Administrativo '!#REF!),"")</f>
        <v>#REF!</v>
      </c>
      <c r="V7" s="42" t="e">
        <f>IF(AND('Administrativo '!#REF!="Muy Alta",'Administrativo '!#REF!="Moderado"),CONCATENATE("R2C",'Administrativo '!#REF!),"")</f>
        <v>#REF!</v>
      </c>
      <c r="W7" s="43" t="e">
        <f>IF(AND('Administrativo '!#REF!="Muy Alta",'Administrativo '!#REF!="Moderado"),CONCATENATE("R2C",'Administrativo '!#REF!),"")</f>
        <v>#REF!</v>
      </c>
      <c r="X7" s="43" t="e">
        <f>IF(AND('Administrativo '!#REF!="Muy Alta",'Administrativo '!#REF!="Moderado"),CONCATENATE("R2C",'Administrativo '!#REF!),"")</f>
        <v>#REF!</v>
      </c>
      <c r="Y7" s="43" t="e">
        <f>IF(AND('Administrativo '!#REF!="Muy Alta",'Administrativo '!#REF!="Moderado"),CONCATENATE("R2C",'Administrativo '!#REF!),"")</f>
        <v>#REF!</v>
      </c>
      <c r="Z7" s="43" t="e">
        <f>IF(AND('Administrativo '!#REF!="Muy Alta",'Administrativo '!#REF!="Moderado"),CONCATENATE("R2C",'Administrativo '!#REF!),"")</f>
        <v>#REF!</v>
      </c>
      <c r="AA7" s="44" t="e">
        <f>IF(AND('Administrativo '!#REF!="Muy Alta",'Administrativo '!#REF!="Moderado"),CONCATENATE("R2C",'Administrativo '!#REF!),"")</f>
        <v>#REF!</v>
      </c>
      <c r="AB7" s="42" t="e">
        <f>IF(AND('Administrativo '!#REF!="Muy Alta",'Administrativo '!#REF!="Mayor"),CONCATENATE("R2C",'Administrativo '!#REF!),"")</f>
        <v>#REF!</v>
      </c>
      <c r="AC7" s="43" t="e">
        <f>IF(AND('Administrativo '!#REF!="Muy Alta",'Administrativo '!#REF!="Mayor"),CONCATENATE("R2C",'Administrativo '!#REF!),"")</f>
        <v>#REF!</v>
      </c>
      <c r="AD7" s="43" t="e">
        <f>IF(AND('Administrativo '!#REF!="Muy Alta",'Administrativo '!#REF!="Mayor"),CONCATENATE("R2C",'Administrativo '!#REF!),"")</f>
        <v>#REF!</v>
      </c>
      <c r="AE7" s="43" t="e">
        <f>IF(AND('Administrativo '!#REF!="Muy Alta",'Administrativo '!#REF!="Mayor"),CONCATENATE("R2C",'Administrativo '!#REF!),"")</f>
        <v>#REF!</v>
      </c>
      <c r="AF7" s="43" t="e">
        <f>IF(AND('Administrativo '!#REF!="Muy Alta",'Administrativo '!#REF!="Mayor"),CONCATENATE("R2C",'Administrativo '!#REF!),"")</f>
        <v>#REF!</v>
      </c>
      <c r="AG7" s="44" t="e">
        <f>IF(AND('Administrativo '!#REF!="Muy Alta",'Administrativo '!#REF!="Mayor"),CONCATENATE("R2C",'Administrativo '!#REF!),"")</f>
        <v>#REF!</v>
      </c>
      <c r="AH7" s="45" t="e">
        <f>IF(AND('Administrativo '!#REF!="Muy Alta",'Administrativo '!#REF!="Catastrófico"),CONCATENATE("R2C",'Administrativo '!#REF!),"")</f>
        <v>#REF!</v>
      </c>
      <c r="AI7" s="46" t="e">
        <f>IF(AND('Administrativo '!#REF!="Muy Alta",'Administrativo '!#REF!="Catastrófico"),CONCATENATE("R2C",'Administrativo '!#REF!),"")</f>
        <v>#REF!</v>
      </c>
      <c r="AJ7" s="46" t="e">
        <f>IF(AND('Administrativo '!#REF!="Muy Alta",'Administrativo '!#REF!="Catastrófico"),CONCATENATE("R2C",'Administrativo '!#REF!),"")</f>
        <v>#REF!</v>
      </c>
      <c r="AK7" s="46" t="e">
        <f>IF(AND('Administrativo '!#REF!="Muy Alta",'Administrativo '!#REF!="Catastrófico"),CONCATENATE("R2C",'Administrativo '!#REF!),"")</f>
        <v>#REF!</v>
      </c>
      <c r="AL7" s="46" t="e">
        <f>IF(AND('Administrativo '!#REF!="Muy Alta",'Administrativo '!#REF!="Catastrófico"),CONCATENATE("R2C",'Administrativo '!#REF!),"")</f>
        <v>#REF!</v>
      </c>
      <c r="AM7" s="47" t="e">
        <f>IF(AND('Administrativo '!#REF!="Muy Alta",'Administrativo '!#REF!="Catastrófico"),CONCATENATE("R2C",'Administrativo '!#REF!),"")</f>
        <v>#REF!</v>
      </c>
      <c r="AN7" s="73"/>
      <c r="AO7" s="834"/>
      <c r="AP7" s="835"/>
      <c r="AQ7" s="835"/>
      <c r="AR7" s="835"/>
      <c r="AS7" s="835"/>
      <c r="AT7" s="836"/>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row>
    <row r="8" spans="1:91" ht="15" customHeight="1" x14ac:dyDescent="0.25">
      <c r="A8" s="73"/>
      <c r="B8" s="773"/>
      <c r="C8" s="773"/>
      <c r="D8" s="774"/>
      <c r="E8" s="814"/>
      <c r="F8" s="815"/>
      <c r="G8" s="815"/>
      <c r="H8" s="815"/>
      <c r="I8" s="816"/>
      <c r="J8" s="42" t="e">
        <f>IF(AND('Administrativo '!#REF!="Muy Alta",'Administrativo '!#REF!="Leve"),CONCATENATE("R3C",'Administrativo '!#REF!),"")</f>
        <v>#REF!</v>
      </c>
      <c r="K8" s="43" t="e">
        <f>IF(AND('Administrativo '!#REF!="Muy Alta",'Administrativo '!#REF!="Leve"),CONCATENATE("R3C",'Administrativo '!#REF!),"")</f>
        <v>#REF!</v>
      </c>
      <c r="L8" s="43" t="e">
        <f>IF(AND('Administrativo '!#REF!="Muy Alta",'Administrativo '!#REF!="Leve"),CONCATENATE("R3C",'Administrativo '!#REF!),"")</f>
        <v>#REF!</v>
      </c>
      <c r="M8" s="43" t="e">
        <f>IF(AND('Administrativo '!#REF!="Muy Alta",'Administrativo '!#REF!="Leve"),CONCATENATE("R3C",'Administrativo '!#REF!),"")</f>
        <v>#REF!</v>
      </c>
      <c r="N8" s="43" t="e">
        <f>IF(AND('Administrativo '!#REF!="Muy Alta",'Administrativo '!#REF!="Leve"),CONCATENATE("R3C",'Administrativo '!#REF!),"")</f>
        <v>#REF!</v>
      </c>
      <c r="O8" s="44" t="e">
        <f>IF(AND('Administrativo '!#REF!="Muy Alta",'Administrativo '!#REF!="Leve"),CONCATENATE("R3C",'Administrativo '!#REF!),"")</f>
        <v>#REF!</v>
      </c>
      <c r="P8" s="42" t="e">
        <f>IF(AND('Administrativo '!#REF!="Muy Alta",'Administrativo '!#REF!="Menor"),CONCATENATE("R3C",'Administrativo '!#REF!),"")</f>
        <v>#REF!</v>
      </c>
      <c r="Q8" s="43" t="e">
        <f>IF(AND('Administrativo '!#REF!="Muy Alta",'Administrativo '!#REF!="Menor"),CONCATENATE("R3C",'Administrativo '!#REF!),"")</f>
        <v>#REF!</v>
      </c>
      <c r="R8" s="43" t="e">
        <f>IF(AND('Administrativo '!#REF!="Muy Alta",'Administrativo '!#REF!="Menor"),CONCATENATE("R3C",'Administrativo '!#REF!),"")</f>
        <v>#REF!</v>
      </c>
      <c r="S8" s="43" t="e">
        <f>IF(AND('Administrativo '!#REF!="Muy Alta",'Administrativo '!#REF!="Menor"),CONCATENATE("R3C",'Administrativo '!#REF!),"")</f>
        <v>#REF!</v>
      </c>
      <c r="T8" s="43" t="e">
        <f>IF(AND('Administrativo '!#REF!="Muy Alta",'Administrativo '!#REF!="Menor"),CONCATENATE("R3C",'Administrativo '!#REF!),"")</f>
        <v>#REF!</v>
      </c>
      <c r="U8" s="44" t="e">
        <f>IF(AND('Administrativo '!#REF!="Muy Alta",'Administrativo '!#REF!="Menor"),CONCATENATE("R3C",'Administrativo '!#REF!),"")</f>
        <v>#REF!</v>
      </c>
      <c r="V8" s="42" t="e">
        <f>IF(AND('Administrativo '!#REF!="Muy Alta",'Administrativo '!#REF!="Moderado"),CONCATENATE("R3C",'Administrativo '!#REF!),"")</f>
        <v>#REF!</v>
      </c>
      <c r="W8" s="43" t="e">
        <f>IF(AND('Administrativo '!#REF!="Muy Alta",'Administrativo '!#REF!="Moderado"),CONCATENATE("R3C",'Administrativo '!#REF!),"")</f>
        <v>#REF!</v>
      </c>
      <c r="X8" s="43" t="e">
        <f>IF(AND('Administrativo '!#REF!="Muy Alta",'Administrativo '!#REF!="Moderado"),CONCATENATE("R3C",'Administrativo '!#REF!),"")</f>
        <v>#REF!</v>
      </c>
      <c r="Y8" s="43" t="e">
        <f>IF(AND('Administrativo '!#REF!="Muy Alta",'Administrativo '!#REF!="Moderado"),CONCATENATE("R3C",'Administrativo '!#REF!),"")</f>
        <v>#REF!</v>
      </c>
      <c r="Z8" s="43" t="e">
        <f>IF(AND('Administrativo '!#REF!="Muy Alta",'Administrativo '!#REF!="Moderado"),CONCATENATE("R3C",'Administrativo '!#REF!),"")</f>
        <v>#REF!</v>
      </c>
      <c r="AA8" s="44" t="e">
        <f>IF(AND('Administrativo '!#REF!="Muy Alta",'Administrativo '!#REF!="Moderado"),CONCATENATE("R3C",'Administrativo '!#REF!),"")</f>
        <v>#REF!</v>
      </c>
      <c r="AB8" s="42" t="e">
        <f>IF(AND('Administrativo '!#REF!="Muy Alta",'Administrativo '!#REF!="Mayor"),CONCATENATE("R3C",'Administrativo '!#REF!),"")</f>
        <v>#REF!</v>
      </c>
      <c r="AC8" s="43" t="e">
        <f>IF(AND('Administrativo '!#REF!="Muy Alta",'Administrativo '!#REF!="Mayor"),CONCATENATE("R3C",'Administrativo '!#REF!),"")</f>
        <v>#REF!</v>
      </c>
      <c r="AD8" s="43" t="e">
        <f>IF(AND('Administrativo '!#REF!="Muy Alta",'Administrativo '!#REF!="Mayor"),CONCATENATE("R3C",'Administrativo '!#REF!),"")</f>
        <v>#REF!</v>
      </c>
      <c r="AE8" s="43" t="e">
        <f>IF(AND('Administrativo '!#REF!="Muy Alta",'Administrativo '!#REF!="Mayor"),CONCATENATE("R3C",'Administrativo '!#REF!),"")</f>
        <v>#REF!</v>
      </c>
      <c r="AF8" s="43" t="e">
        <f>IF(AND('Administrativo '!#REF!="Muy Alta",'Administrativo '!#REF!="Mayor"),CONCATENATE("R3C",'Administrativo '!#REF!),"")</f>
        <v>#REF!</v>
      </c>
      <c r="AG8" s="44" t="e">
        <f>IF(AND('Administrativo '!#REF!="Muy Alta",'Administrativo '!#REF!="Mayor"),CONCATENATE("R3C",'Administrativo '!#REF!),"")</f>
        <v>#REF!</v>
      </c>
      <c r="AH8" s="45" t="e">
        <f>IF(AND('Administrativo '!#REF!="Muy Alta",'Administrativo '!#REF!="Catastrófico"),CONCATENATE("R3C",'Administrativo '!#REF!),"")</f>
        <v>#REF!</v>
      </c>
      <c r="AI8" s="46" t="e">
        <f>IF(AND('Administrativo '!#REF!="Muy Alta",'Administrativo '!#REF!="Catastrófico"),CONCATENATE("R3C",'Administrativo '!#REF!),"")</f>
        <v>#REF!</v>
      </c>
      <c r="AJ8" s="46" t="e">
        <f>IF(AND('Administrativo '!#REF!="Muy Alta",'Administrativo '!#REF!="Catastrófico"),CONCATENATE("R3C",'Administrativo '!#REF!),"")</f>
        <v>#REF!</v>
      </c>
      <c r="AK8" s="46" t="e">
        <f>IF(AND('Administrativo '!#REF!="Muy Alta",'Administrativo '!#REF!="Catastrófico"),CONCATENATE("R3C",'Administrativo '!#REF!),"")</f>
        <v>#REF!</v>
      </c>
      <c r="AL8" s="46" t="e">
        <f>IF(AND('Administrativo '!#REF!="Muy Alta",'Administrativo '!#REF!="Catastrófico"),CONCATENATE("R3C",'Administrativo '!#REF!),"")</f>
        <v>#REF!</v>
      </c>
      <c r="AM8" s="47" t="e">
        <f>IF(AND('Administrativo '!#REF!="Muy Alta",'Administrativo '!#REF!="Catastrófico"),CONCATENATE("R3C",'Administrativo '!#REF!),"")</f>
        <v>#REF!</v>
      </c>
      <c r="AN8" s="73"/>
      <c r="AO8" s="834"/>
      <c r="AP8" s="835"/>
      <c r="AQ8" s="835"/>
      <c r="AR8" s="835"/>
      <c r="AS8" s="835"/>
      <c r="AT8" s="836"/>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row>
    <row r="9" spans="1:91" ht="15" customHeight="1" x14ac:dyDescent="0.25">
      <c r="A9" s="73"/>
      <c r="B9" s="773"/>
      <c r="C9" s="773"/>
      <c r="D9" s="774"/>
      <c r="E9" s="814"/>
      <c r="F9" s="815"/>
      <c r="G9" s="815"/>
      <c r="H9" s="815"/>
      <c r="I9" s="816"/>
      <c r="J9" s="42" t="e">
        <f>IF(AND('Administrativo '!#REF!="Muy Alta",'Administrativo '!#REF!="Leve"),CONCATENATE("R4C",'Administrativo '!#REF!),"")</f>
        <v>#REF!</v>
      </c>
      <c r="K9" s="43" t="e">
        <f>IF(AND('Administrativo '!#REF!="Muy Alta",'Administrativo '!#REF!="Leve"),CONCATENATE("R4C",'Administrativo '!#REF!),"")</f>
        <v>#REF!</v>
      </c>
      <c r="L9" s="43" t="e">
        <f>IF(AND('Administrativo '!#REF!="Muy Alta",'Administrativo '!#REF!="Leve"),CONCATENATE("R4C",'Administrativo '!#REF!),"")</f>
        <v>#REF!</v>
      </c>
      <c r="M9" s="43" t="e">
        <f>IF(AND('Administrativo '!#REF!="Muy Alta",'Administrativo '!#REF!="Leve"),CONCATENATE("R4C",'Administrativo '!#REF!),"")</f>
        <v>#REF!</v>
      </c>
      <c r="N9" s="43" t="e">
        <f>IF(AND('Administrativo '!#REF!="Muy Alta",'Administrativo '!#REF!="Leve"),CONCATENATE("R4C",'Administrativo '!#REF!),"")</f>
        <v>#REF!</v>
      </c>
      <c r="O9" s="44" t="e">
        <f>IF(AND('Administrativo '!#REF!="Muy Alta",'Administrativo '!#REF!="Leve"),CONCATENATE("R4C",'Administrativo '!#REF!),"")</f>
        <v>#REF!</v>
      </c>
      <c r="P9" s="42" t="e">
        <f>IF(AND('Administrativo '!#REF!="Muy Alta",'Administrativo '!#REF!="Menor"),CONCATENATE("R4C",'Administrativo '!#REF!),"")</f>
        <v>#REF!</v>
      </c>
      <c r="Q9" s="43" t="e">
        <f>IF(AND('Administrativo '!#REF!="Muy Alta",'Administrativo '!#REF!="Menor"),CONCATENATE("R4C",'Administrativo '!#REF!),"")</f>
        <v>#REF!</v>
      </c>
      <c r="R9" s="43" t="e">
        <f>IF(AND('Administrativo '!#REF!="Muy Alta",'Administrativo '!#REF!="Menor"),CONCATENATE("R4C",'Administrativo '!#REF!),"")</f>
        <v>#REF!</v>
      </c>
      <c r="S9" s="43" t="e">
        <f>IF(AND('Administrativo '!#REF!="Muy Alta",'Administrativo '!#REF!="Menor"),CONCATENATE("R4C",'Administrativo '!#REF!),"")</f>
        <v>#REF!</v>
      </c>
      <c r="T9" s="43" t="e">
        <f>IF(AND('Administrativo '!#REF!="Muy Alta",'Administrativo '!#REF!="Menor"),CONCATENATE("R4C",'Administrativo '!#REF!),"")</f>
        <v>#REF!</v>
      </c>
      <c r="U9" s="44" t="e">
        <f>IF(AND('Administrativo '!#REF!="Muy Alta",'Administrativo '!#REF!="Menor"),CONCATENATE("R4C",'Administrativo '!#REF!),"")</f>
        <v>#REF!</v>
      </c>
      <c r="V9" s="42" t="e">
        <f>IF(AND('Administrativo '!#REF!="Muy Alta",'Administrativo '!#REF!="Moderado"),CONCATENATE("R4C",'Administrativo '!#REF!),"")</f>
        <v>#REF!</v>
      </c>
      <c r="W9" s="43" t="e">
        <f>IF(AND('Administrativo '!#REF!="Muy Alta",'Administrativo '!#REF!="Moderado"),CONCATENATE("R4C",'Administrativo '!#REF!),"")</f>
        <v>#REF!</v>
      </c>
      <c r="X9" s="43" t="e">
        <f>IF(AND('Administrativo '!#REF!="Muy Alta",'Administrativo '!#REF!="Moderado"),CONCATENATE("R4C",'Administrativo '!#REF!),"")</f>
        <v>#REF!</v>
      </c>
      <c r="Y9" s="43" t="e">
        <f>IF(AND('Administrativo '!#REF!="Muy Alta",'Administrativo '!#REF!="Moderado"),CONCATENATE("R4C",'Administrativo '!#REF!),"")</f>
        <v>#REF!</v>
      </c>
      <c r="Z9" s="43" t="e">
        <f>IF(AND('Administrativo '!#REF!="Muy Alta",'Administrativo '!#REF!="Moderado"),CONCATENATE("R4C",'Administrativo '!#REF!),"")</f>
        <v>#REF!</v>
      </c>
      <c r="AA9" s="44" t="e">
        <f>IF(AND('Administrativo '!#REF!="Muy Alta",'Administrativo '!#REF!="Moderado"),CONCATENATE("R4C",'Administrativo '!#REF!),"")</f>
        <v>#REF!</v>
      </c>
      <c r="AB9" s="42" t="e">
        <f>IF(AND('Administrativo '!#REF!="Muy Alta",'Administrativo '!#REF!="Mayor"),CONCATENATE("R4C",'Administrativo '!#REF!),"")</f>
        <v>#REF!</v>
      </c>
      <c r="AC9" s="43" t="e">
        <f>IF(AND('Administrativo '!#REF!="Muy Alta",'Administrativo '!#REF!="Mayor"),CONCATENATE("R4C",'Administrativo '!#REF!),"")</f>
        <v>#REF!</v>
      </c>
      <c r="AD9" s="43" t="e">
        <f>IF(AND('Administrativo '!#REF!="Muy Alta",'Administrativo '!#REF!="Mayor"),CONCATENATE("R4C",'Administrativo '!#REF!),"")</f>
        <v>#REF!</v>
      </c>
      <c r="AE9" s="43" t="e">
        <f>IF(AND('Administrativo '!#REF!="Muy Alta",'Administrativo '!#REF!="Mayor"),CONCATENATE("R4C",'Administrativo '!#REF!),"")</f>
        <v>#REF!</v>
      </c>
      <c r="AF9" s="43" t="e">
        <f>IF(AND('Administrativo '!#REF!="Muy Alta",'Administrativo '!#REF!="Mayor"),CONCATENATE("R4C",'Administrativo '!#REF!),"")</f>
        <v>#REF!</v>
      </c>
      <c r="AG9" s="44" t="e">
        <f>IF(AND('Administrativo '!#REF!="Muy Alta",'Administrativo '!#REF!="Mayor"),CONCATENATE("R4C",'Administrativo '!#REF!),"")</f>
        <v>#REF!</v>
      </c>
      <c r="AH9" s="45" t="e">
        <f>IF(AND('Administrativo '!#REF!="Muy Alta",'Administrativo '!#REF!="Catastrófico"),CONCATENATE("R4C",'Administrativo '!#REF!),"")</f>
        <v>#REF!</v>
      </c>
      <c r="AI9" s="46" t="e">
        <f>IF(AND('Administrativo '!#REF!="Muy Alta",'Administrativo '!#REF!="Catastrófico"),CONCATENATE("R4C",'Administrativo '!#REF!),"")</f>
        <v>#REF!</v>
      </c>
      <c r="AJ9" s="46" t="e">
        <f>IF(AND('Administrativo '!#REF!="Muy Alta",'Administrativo '!#REF!="Catastrófico"),CONCATENATE("R4C",'Administrativo '!#REF!),"")</f>
        <v>#REF!</v>
      </c>
      <c r="AK9" s="46" t="e">
        <f>IF(AND('Administrativo '!#REF!="Muy Alta",'Administrativo '!#REF!="Catastrófico"),CONCATENATE("R4C",'Administrativo '!#REF!),"")</f>
        <v>#REF!</v>
      </c>
      <c r="AL9" s="46" t="e">
        <f>IF(AND('Administrativo '!#REF!="Muy Alta",'Administrativo '!#REF!="Catastrófico"),CONCATENATE("R4C",'Administrativo '!#REF!),"")</f>
        <v>#REF!</v>
      </c>
      <c r="AM9" s="47" t="e">
        <f>IF(AND('Administrativo '!#REF!="Muy Alta",'Administrativo '!#REF!="Catastrófico"),CONCATENATE("R4C",'Administrativo '!#REF!),"")</f>
        <v>#REF!</v>
      </c>
      <c r="AN9" s="73"/>
      <c r="AO9" s="834"/>
      <c r="AP9" s="835"/>
      <c r="AQ9" s="835"/>
      <c r="AR9" s="835"/>
      <c r="AS9" s="835"/>
      <c r="AT9" s="836"/>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row>
    <row r="10" spans="1:91" ht="15" customHeight="1" x14ac:dyDescent="0.25">
      <c r="A10" s="73"/>
      <c r="B10" s="773"/>
      <c r="C10" s="773"/>
      <c r="D10" s="774"/>
      <c r="E10" s="814"/>
      <c r="F10" s="815"/>
      <c r="G10" s="815"/>
      <c r="H10" s="815"/>
      <c r="I10" s="816"/>
      <c r="J10" s="42" t="e">
        <f>IF(AND('Administrativo '!#REF!="Muy Alta",'Administrativo '!#REF!="Leve"),CONCATENATE("R5C",'Administrativo '!#REF!),"")</f>
        <v>#REF!</v>
      </c>
      <c r="K10" s="43" t="e">
        <f>IF(AND('Administrativo '!#REF!="Muy Alta",'Administrativo '!#REF!="Leve"),CONCATENATE("R5C",'Administrativo '!#REF!),"")</f>
        <v>#REF!</v>
      </c>
      <c r="L10" s="43" t="e">
        <f>IF(AND('Administrativo '!#REF!="Muy Alta",'Administrativo '!#REF!="Leve"),CONCATENATE("R5C",'Administrativo '!#REF!),"")</f>
        <v>#REF!</v>
      </c>
      <c r="M10" s="43" t="e">
        <f>IF(AND('Administrativo '!#REF!="Muy Alta",'Administrativo '!#REF!="Leve"),CONCATENATE("R5C",'Administrativo '!#REF!),"")</f>
        <v>#REF!</v>
      </c>
      <c r="N10" s="43" t="e">
        <f>IF(AND('Administrativo '!#REF!="Muy Alta",'Administrativo '!#REF!="Leve"),CONCATENATE("R5C",'Administrativo '!#REF!),"")</f>
        <v>#REF!</v>
      </c>
      <c r="O10" s="44" t="e">
        <f>IF(AND('Administrativo '!#REF!="Muy Alta",'Administrativo '!#REF!="Leve"),CONCATENATE("R5C",'Administrativo '!#REF!),"")</f>
        <v>#REF!</v>
      </c>
      <c r="P10" s="42" t="e">
        <f>IF(AND('Administrativo '!#REF!="Muy Alta",'Administrativo '!#REF!="Menor"),CONCATENATE("R5C",'Administrativo '!#REF!),"")</f>
        <v>#REF!</v>
      </c>
      <c r="Q10" s="43" t="e">
        <f>IF(AND('Administrativo '!#REF!="Muy Alta",'Administrativo '!#REF!="Menor"),CONCATENATE("R5C",'Administrativo '!#REF!),"")</f>
        <v>#REF!</v>
      </c>
      <c r="R10" s="43" t="e">
        <f>IF(AND('Administrativo '!#REF!="Muy Alta",'Administrativo '!#REF!="Menor"),CONCATENATE("R5C",'Administrativo '!#REF!),"")</f>
        <v>#REF!</v>
      </c>
      <c r="S10" s="43" t="e">
        <f>IF(AND('Administrativo '!#REF!="Muy Alta",'Administrativo '!#REF!="Menor"),CONCATENATE("R5C",'Administrativo '!#REF!),"")</f>
        <v>#REF!</v>
      </c>
      <c r="T10" s="43" t="e">
        <f>IF(AND('Administrativo '!#REF!="Muy Alta",'Administrativo '!#REF!="Menor"),CONCATENATE("R5C",'Administrativo '!#REF!),"")</f>
        <v>#REF!</v>
      </c>
      <c r="U10" s="44" t="e">
        <f>IF(AND('Administrativo '!#REF!="Muy Alta",'Administrativo '!#REF!="Menor"),CONCATENATE("R5C",'Administrativo '!#REF!),"")</f>
        <v>#REF!</v>
      </c>
      <c r="V10" s="42" t="e">
        <f>IF(AND('Administrativo '!#REF!="Muy Alta",'Administrativo '!#REF!="Moderado"),CONCATENATE("R5C",'Administrativo '!#REF!),"")</f>
        <v>#REF!</v>
      </c>
      <c r="W10" s="43" t="e">
        <f>IF(AND('Administrativo '!#REF!="Muy Alta",'Administrativo '!#REF!="Moderado"),CONCATENATE("R5C",'Administrativo '!#REF!),"")</f>
        <v>#REF!</v>
      </c>
      <c r="X10" s="43" t="e">
        <f>IF(AND('Administrativo '!#REF!="Muy Alta",'Administrativo '!#REF!="Moderado"),CONCATENATE("R5C",'Administrativo '!#REF!),"")</f>
        <v>#REF!</v>
      </c>
      <c r="Y10" s="43" t="e">
        <f>IF(AND('Administrativo '!#REF!="Muy Alta",'Administrativo '!#REF!="Moderado"),CONCATENATE("R5C",'Administrativo '!#REF!),"")</f>
        <v>#REF!</v>
      </c>
      <c r="Z10" s="43" t="e">
        <f>IF(AND('Administrativo '!#REF!="Muy Alta",'Administrativo '!#REF!="Moderado"),CONCATENATE("R5C",'Administrativo '!#REF!),"")</f>
        <v>#REF!</v>
      </c>
      <c r="AA10" s="44" t="e">
        <f>IF(AND('Administrativo '!#REF!="Muy Alta",'Administrativo '!#REF!="Moderado"),CONCATENATE("R5C",'Administrativo '!#REF!),"")</f>
        <v>#REF!</v>
      </c>
      <c r="AB10" s="42" t="e">
        <f>IF(AND('Administrativo '!#REF!="Muy Alta",'Administrativo '!#REF!="Mayor"),CONCATENATE("R5C",'Administrativo '!#REF!),"")</f>
        <v>#REF!</v>
      </c>
      <c r="AC10" s="43" t="e">
        <f>IF(AND('Administrativo '!#REF!="Muy Alta",'Administrativo '!#REF!="Mayor"),CONCATENATE("R5C",'Administrativo '!#REF!),"")</f>
        <v>#REF!</v>
      </c>
      <c r="AD10" s="43" t="e">
        <f>IF(AND('Administrativo '!#REF!="Muy Alta",'Administrativo '!#REF!="Mayor"),CONCATENATE("R5C",'Administrativo '!#REF!),"")</f>
        <v>#REF!</v>
      </c>
      <c r="AE10" s="43" t="e">
        <f>IF(AND('Administrativo '!#REF!="Muy Alta",'Administrativo '!#REF!="Mayor"),CONCATENATE("R5C",'Administrativo '!#REF!),"")</f>
        <v>#REF!</v>
      </c>
      <c r="AF10" s="43" t="e">
        <f>IF(AND('Administrativo '!#REF!="Muy Alta",'Administrativo '!#REF!="Mayor"),CONCATENATE("R5C",'Administrativo '!#REF!),"")</f>
        <v>#REF!</v>
      </c>
      <c r="AG10" s="44" t="e">
        <f>IF(AND('Administrativo '!#REF!="Muy Alta",'Administrativo '!#REF!="Mayor"),CONCATENATE("R5C",'Administrativo '!#REF!),"")</f>
        <v>#REF!</v>
      </c>
      <c r="AH10" s="45" t="e">
        <f>IF(AND('Administrativo '!#REF!="Muy Alta",'Administrativo '!#REF!="Catastrófico"),CONCATENATE("R5C",'Administrativo '!#REF!),"")</f>
        <v>#REF!</v>
      </c>
      <c r="AI10" s="46" t="e">
        <f>IF(AND('Administrativo '!#REF!="Muy Alta",'Administrativo '!#REF!="Catastrófico"),CONCATENATE("R5C",'Administrativo '!#REF!),"")</f>
        <v>#REF!</v>
      </c>
      <c r="AJ10" s="46" t="e">
        <f>IF(AND('Administrativo '!#REF!="Muy Alta",'Administrativo '!#REF!="Catastrófico"),CONCATENATE("R5C",'Administrativo '!#REF!),"")</f>
        <v>#REF!</v>
      </c>
      <c r="AK10" s="46" t="e">
        <f>IF(AND('Administrativo '!#REF!="Muy Alta",'Administrativo '!#REF!="Catastrófico"),CONCATENATE("R5C",'Administrativo '!#REF!),"")</f>
        <v>#REF!</v>
      </c>
      <c r="AL10" s="46" t="e">
        <f>IF(AND('Administrativo '!#REF!="Muy Alta",'Administrativo '!#REF!="Catastrófico"),CONCATENATE("R5C",'Administrativo '!#REF!),"")</f>
        <v>#REF!</v>
      </c>
      <c r="AM10" s="47" t="e">
        <f>IF(AND('Administrativo '!#REF!="Muy Alta",'Administrativo '!#REF!="Catastrófico"),CONCATENATE("R5C",'Administrativo '!#REF!),"")</f>
        <v>#REF!</v>
      </c>
      <c r="AN10" s="73"/>
      <c r="AO10" s="834"/>
      <c r="AP10" s="835"/>
      <c r="AQ10" s="835"/>
      <c r="AR10" s="835"/>
      <c r="AS10" s="835"/>
      <c r="AT10" s="836"/>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row>
    <row r="11" spans="1:91" ht="15" customHeight="1" x14ac:dyDescent="0.25">
      <c r="A11" s="73"/>
      <c r="B11" s="773"/>
      <c r="C11" s="773"/>
      <c r="D11" s="774"/>
      <c r="E11" s="814"/>
      <c r="F11" s="815"/>
      <c r="G11" s="815"/>
      <c r="H11" s="815"/>
      <c r="I11" s="816"/>
      <c r="J11" s="42" t="e">
        <f>IF(AND('Administrativo '!#REF!="Muy Alta",'Administrativo '!#REF!="Leve"),CONCATENATE("R6C",'Administrativo '!#REF!),"")</f>
        <v>#REF!</v>
      </c>
      <c r="K11" s="43" t="e">
        <f>IF(AND('Administrativo '!#REF!="Muy Alta",'Administrativo '!#REF!="Leve"),CONCATENATE("R6C",'Administrativo '!#REF!),"")</f>
        <v>#REF!</v>
      </c>
      <c r="L11" s="43" t="e">
        <f>IF(AND('Administrativo '!#REF!="Muy Alta",'Administrativo '!#REF!="Leve"),CONCATENATE("R6C",'Administrativo '!#REF!),"")</f>
        <v>#REF!</v>
      </c>
      <c r="M11" s="43" t="e">
        <f>IF(AND('Administrativo '!#REF!="Muy Alta",'Administrativo '!#REF!="Leve"),CONCATENATE("R6C",'Administrativo '!#REF!),"")</f>
        <v>#REF!</v>
      </c>
      <c r="N11" s="43" t="e">
        <f>IF(AND('Administrativo '!#REF!="Muy Alta",'Administrativo '!#REF!="Leve"),CONCATENATE("R6C",'Administrativo '!#REF!),"")</f>
        <v>#REF!</v>
      </c>
      <c r="O11" s="44" t="e">
        <f>IF(AND('Administrativo '!#REF!="Muy Alta",'Administrativo '!#REF!="Leve"),CONCATENATE("R6C",'Administrativo '!#REF!),"")</f>
        <v>#REF!</v>
      </c>
      <c r="P11" s="42" t="e">
        <f>IF(AND('Administrativo '!#REF!="Muy Alta",'Administrativo '!#REF!="Menor"),CONCATENATE("R6C",'Administrativo '!#REF!),"")</f>
        <v>#REF!</v>
      </c>
      <c r="Q11" s="43" t="e">
        <f>IF(AND('Administrativo '!#REF!="Muy Alta",'Administrativo '!#REF!="Menor"),CONCATENATE("R6C",'Administrativo '!#REF!),"")</f>
        <v>#REF!</v>
      </c>
      <c r="R11" s="43" t="e">
        <f>IF(AND('Administrativo '!#REF!="Muy Alta",'Administrativo '!#REF!="Menor"),CONCATENATE("R6C",'Administrativo '!#REF!),"")</f>
        <v>#REF!</v>
      </c>
      <c r="S11" s="43" t="e">
        <f>IF(AND('Administrativo '!#REF!="Muy Alta",'Administrativo '!#REF!="Menor"),CONCATENATE("R6C",'Administrativo '!#REF!),"")</f>
        <v>#REF!</v>
      </c>
      <c r="T11" s="43" t="e">
        <f>IF(AND('Administrativo '!#REF!="Muy Alta",'Administrativo '!#REF!="Menor"),CONCATENATE("R6C",'Administrativo '!#REF!),"")</f>
        <v>#REF!</v>
      </c>
      <c r="U11" s="44" t="e">
        <f>IF(AND('Administrativo '!#REF!="Muy Alta",'Administrativo '!#REF!="Menor"),CONCATENATE("R6C",'Administrativo '!#REF!),"")</f>
        <v>#REF!</v>
      </c>
      <c r="V11" s="42" t="e">
        <f>IF(AND('Administrativo '!#REF!="Muy Alta",'Administrativo '!#REF!="Moderado"),CONCATENATE("R6C",'Administrativo '!#REF!),"")</f>
        <v>#REF!</v>
      </c>
      <c r="W11" s="43" t="e">
        <f>IF(AND('Administrativo '!#REF!="Muy Alta",'Administrativo '!#REF!="Moderado"),CONCATENATE("R6C",'Administrativo '!#REF!),"")</f>
        <v>#REF!</v>
      </c>
      <c r="X11" s="43" t="e">
        <f>IF(AND('Administrativo '!#REF!="Muy Alta",'Administrativo '!#REF!="Moderado"),CONCATENATE("R6C",'Administrativo '!#REF!),"")</f>
        <v>#REF!</v>
      </c>
      <c r="Y11" s="43" t="e">
        <f>IF(AND('Administrativo '!#REF!="Muy Alta",'Administrativo '!#REF!="Moderado"),CONCATENATE("R6C",'Administrativo '!#REF!),"")</f>
        <v>#REF!</v>
      </c>
      <c r="Z11" s="43" t="e">
        <f>IF(AND('Administrativo '!#REF!="Muy Alta",'Administrativo '!#REF!="Moderado"),CONCATENATE("R6C",'Administrativo '!#REF!),"")</f>
        <v>#REF!</v>
      </c>
      <c r="AA11" s="44" t="e">
        <f>IF(AND('Administrativo '!#REF!="Muy Alta",'Administrativo '!#REF!="Moderado"),CONCATENATE("R6C",'Administrativo '!#REF!),"")</f>
        <v>#REF!</v>
      </c>
      <c r="AB11" s="42" t="e">
        <f>IF(AND('Administrativo '!#REF!="Muy Alta",'Administrativo '!#REF!="Mayor"),CONCATENATE("R6C",'Administrativo '!#REF!),"")</f>
        <v>#REF!</v>
      </c>
      <c r="AC11" s="43" t="e">
        <f>IF(AND('Administrativo '!#REF!="Muy Alta",'Administrativo '!#REF!="Mayor"),CONCATENATE("R6C",'Administrativo '!#REF!),"")</f>
        <v>#REF!</v>
      </c>
      <c r="AD11" s="43" t="e">
        <f>IF(AND('Administrativo '!#REF!="Muy Alta",'Administrativo '!#REF!="Mayor"),CONCATENATE("R6C",'Administrativo '!#REF!),"")</f>
        <v>#REF!</v>
      </c>
      <c r="AE11" s="43" t="e">
        <f>IF(AND('Administrativo '!#REF!="Muy Alta",'Administrativo '!#REF!="Mayor"),CONCATENATE("R6C",'Administrativo '!#REF!),"")</f>
        <v>#REF!</v>
      </c>
      <c r="AF11" s="43" t="e">
        <f>IF(AND('Administrativo '!#REF!="Muy Alta",'Administrativo '!#REF!="Mayor"),CONCATENATE("R6C",'Administrativo '!#REF!),"")</f>
        <v>#REF!</v>
      </c>
      <c r="AG11" s="44" t="e">
        <f>IF(AND('Administrativo '!#REF!="Muy Alta",'Administrativo '!#REF!="Mayor"),CONCATENATE("R6C",'Administrativo '!#REF!),"")</f>
        <v>#REF!</v>
      </c>
      <c r="AH11" s="45" t="e">
        <f>IF(AND('Administrativo '!#REF!="Muy Alta",'Administrativo '!#REF!="Catastrófico"),CONCATENATE("R6C",'Administrativo '!#REF!),"")</f>
        <v>#REF!</v>
      </c>
      <c r="AI11" s="46" t="e">
        <f>IF(AND('Administrativo '!#REF!="Muy Alta",'Administrativo '!#REF!="Catastrófico"),CONCATENATE("R6C",'Administrativo '!#REF!),"")</f>
        <v>#REF!</v>
      </c>
      <c r="AJ11" s="46" t="e">
        <f>IF(AND('Administrativo '!#REF!="Muy Alta",'Administrativo '!#REF!="Catastrófico"),CONCATENATE("R6C",'Administrativo '!#REF!),"")</f>
        <v>#REF!</v>
      </c>
      <c r="AK11" s="46" t="e">
        <f>IF(AND('Administrativo '!#REF!="Muy Alta",'Administrativo '!#REF!="Catastrófico"),CONCATENATE("R6C",'Administrativo '!#REF!),"")</f>
        <v>#REF!</v>
      </c>
      <c r="AL11" s="46" t="e">
        <f>IF(AND('Administrativo '!#REF!="Muy Alta",'Administrativo '!#REF!="Catastrófico"),CONCATENATE("R6C",'Administrativo '!#REF!),"")</f>
        <v>#REF!</v>
      </c>
      <c r="AM11" s="47" t="e">
        <f>IF(AND('Administrativo '!#REF!="Muy Alta",'Administrativo '!#REF!="Catastrófico"),CONCATENATE("R6C",'Administrativo '!#REF!),"")</f>
        <v>#REF!</v>
      </c>
      <c r="AN11" s="73"/>
      <c r="AO11" s="834"/>
      <c r="AP11" s="835"/>
      <c r="AQ11" s="835"/>
      <c r="AR11" s="835"/>
      <c r="AS11" s="835"/>
      <c r="AT11" s="836"/>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c r="BW11" s="73"/>
      <c r="BX11" s="73"/>
    </row>
    <row r="12" spans="1:91" ht="15" customHeight="1" x14ac:dyDescent="0.25">
      <c r="A12" s="73"/>
      <c r="B12" s="773"/>
      <c r="C12" s="773"/>
      <c r="D12" s="774"/>
      <c r="E12" s="814"/>
      <c r="F12" s="815"/>
      <c r="G12" s="815"/>
      <c r="H12" s="815"/>
      <c r="I12" s="816"/>
      <c r="J12" s="42" t="e">
        <f>IF(AND('Administrativo '!#REF!="Muy Alta",'Administrativo '!#REF!="Leve"),CONCATENATE("R7C",'Administrativo '!#REF!),"")</f>
        <v>#REF!</v>
      </c>
      <c r="K12" s="43" t="e">
        <f>IF(AND('Administrativo '!#REF!="Muy Alta",'Administrativo '!#REF!="Leve"),CONCATENATE("R7C",'Administrativo '!#REF!),"")</f>
        <v>#REF!</v>
      </c>
      <c r="L12" s="43" t="e">
        <f>IF(AND('Administrativo '!#REF!="Muy Alta",'Administrativo '!#REF!="Leve"),CONCATENATE("R7C",'Administrativo '!#REF!),"")</f>
        <v>#REF!</v>
      </c>
      <c r="M12" s="43" t="e">
        <f>IF(AND('Administrativo '!#REF!="Muy Alta",'Administrativo '!#REF!="Leve"),CONCATENATE("R7C",'Administrativo '!#REF!),"")</f>
        <v>#REF!</v>
      </c>
      <c r="N12" s="43" t="e">
        <f>IF(AND('Administrativo '!#REF!="Muy Alta",'Administrativo '!#REF!="Leve"),CONCATENATE("R7C",'Administrativo '!#REF!),"")</f>
        <v>#REF!</v>
      </c>
      <c r="O12" s="44" t="e">
        <f>IF(AND('Administrativo '!#REF!="Muy Alta",'Administrativo '!#REF!="Leve"),CONCATENATE("R7C",'Administrativo '!#REF!),"")</f>
        <v>#REF!</v>
      </c>
      <c r="P12" s="42" t="e">
        <f>IF(AND('Administrativo '!#REF!="Muy Alta",'Administrativo '!#REF!="Menor"),CONCATENATE("R7C",'Administrativo '!#REF!),"")</f>
        <v>#REF!</v>
      </c>
      <c r="Q12" s="43" t="e">
        <f>IF(AND('Administrativo '!#REF!="Muy Alta",'Administrativo '!#REF!="Menor"),CONCATENATE("R7C",'Administrativo '!#REF!),"")</f>
        <v>#REF!</v>
      </c>
      <c r="R12" s="43" t="e">
        <f>IF(AND('Administrativo '!#REF!="Muy Alta",'Administrativo '!#REF!="Menor"),CONCATENATE("R7C",'Administrativo '!#REF!),"")</f>
        <v>#REF!</v>
      </c>
      <c r="S12" s="43" t="e">
        <f>IF(AND('Administrativo '!#REF!="Muy Alta",'Administrativo '!#REF!="Menor"),CONCATENATE("R7C",'Administrativo '!#REF!),"")</f>
        <v>#REF!</v>
      </c>
      <c r="T12" s="43" t="e">
        <f>IF(AND('Administrativo '!#REF!="Muy Alta",'Administrativo '!#REF!="Menor"),CONCATENATE("R7C",'Administrativo '!#REF!),"")</f>
        <v>#REF!</v>
      </c>
      <c r="U12" s="44" t="e">
        <f>IF(AND('Administrativo '!#REF!="Muy Alta",'Administrativo '!#REF!="Menor"),CONCATENATE("R7C",'Administrativo '!#REF!),"")</f>
        <v>#REF!</v>
      </c>
      <c r="V12" s="42" t="e">
        <f>IF(AND('Administrativo '!#REF!="Muy Alta",'Administrativo '!#REF!="Moderado"),CONCATENATE("R7C",'Administrativo '!#REF!),"")</f>
        <v>#REF!</v>
      </c>
      <c r="W12" s="43" t="e">
        <f>IF(AND('Administrativo '!#REF!="Muy Alta",'Administrativo '!#REF!="Moderado"),CONCATENATE("R7C",'Administrativo '!#REF!),"")</f>
        <v>#REF!</v>
      </c>
      <c r="X12" s="43" t="e">
        <f>IF(AND('Administrativo '!#REF!="Muy Alta",'Administrativo '!#REF!="Moderado"),CONCATENATE("R7C",'Administrativo '!#REF!),"")</f>
        <v>#REF!</v>
      </c>
      <c r="Y12" s="43" t="e">
        <f>IF(AND('Administrativo '!#REF!="Muy Alta",'Administrativo '!#REF!="Moderado"),CONCATENATE("R7C",'Administrativo '!#REF!),"")</f>
        <v>#REF!</v>
      </c>
      <c r="Z12" s="43" t="e">
        <f>IF(AND('Administrativo '!#REF!="Muy Alta",'Administrativo '!#REF!="Moderado"),CONCATENATE("R7C",'Administrativo '!#REF!),"")</f>
        <v>#REF!</v>
      </c>
      <c r="AA12" s="44" t="e">
        <f>IF(AND('Administrativo '!#REF!="Muy Alta",'Administrativo '!#REF!="Moderado"),CONCATENATE("R7C",'Administrativo '!#REF!),"")</f>
        <v>#REF!</v>
      </c>
      <c r="AB12" s="42" t="e">
        <f>IF(AND('Administrativo '!#REF!="Muy Alta",'Administrativo '!#REF!="Mayor"),CONCATENATE("R7C",'Administrativo '!#REF!),"")</f>
        <v>#REF!</v>
      </c>
      <c r="AC12" s="43" t="e">
        <f>IF(AND('Administrativo '!#REF!="Muy Alta",'Administrativo '!#REF!="Mayor"),CONCATENATE("R7C",'Administrativo '!#REF!),"")</f>
        <v>#REF!</v>
      </c>
      <c r="AD12" s="43" t="e">
        <f>IF(AND('Administrativo '!#REF!="Muy Alta",'Administrativo '!#REF!="Mayor"),CONCATENATE("R7C",'Administrativo '!#REF!),"")</f>
        <v>#REF!</v>
      </c>
      <c r="AE12" s="43" t="e">
        <f>IF(AND('Administrativo '!#REF!="Muy Alta",'Administrativo '!#REF!="Mayor"),CONCATENATE("R7C",'Administrativo '!#REF!),"")</f>
        <v>#REF!</v>
      </c>
      <c r="AF12" s="43" t="e">
        <f>IF(AND('Administrativo '!#REF!="Muy Alta",'Administrativo '!#REF!="Mayor"),CONCATENATE("R7C",'Administrativo '!#REF!),"")</f>
        <v>#REF!</v>
      </c>
      <c r="AG12" s="44" t="e">
        <f>IF(AND('Administrativo '!#REF!="Muy Alta",'Administrativo '!#REF!="Mayor"),CONCATENATE("R7C",'Administrativo '!#REF!),"")</f>
        <v>#REF!</v>
      </c>
      <c r="AH12" s="45" t="e">
        <f>IF(AND('Administrativo '!#REF!="Muy Alta",'Administrativo '!#REF!="Catastrófico"),CONCATENATE("R7C",'Administrativo '!#REF!),"")</f>
        <v>#REF!</v>
      </c>
      <c r="AI12" s="46" t="e">
        <f>IF(AND('Administrativo '!#REF!="Muy Alta",'Administrativo '!#REF!="Catastrófico"),CONCATENATE("R7C",'Administrativo '!#REF!),"")</f>
        <v>#REF!</v>
      </c>
      <c r="AJ12" s="46" t="e">
        <f>IF(AND('Administrativo '!#REF!="Muy Alta",'Administrativo '!#REF!="Catastrófico"),CONCATENATE("R7C",'Administrativo '!#REF!),"")</f>
        <v>#REF!</v>
      </c>
      <c r="AK12" s="46" t="e">
        <f>IF(AND('Administrativo '!#REF!="Muy Alta",'Administrativo '!#REF!="Catastrófico"),CONCATENATE("R7C",'Administrativo '!#REF!),"")</f>
        <v>#REF!</v>
      </c>
      <c r="AL12" s="46" t="e">
        <f>IF(AND('Administrativo '!#REF!="Muy Alta",'Administrativo '!#REF!="Catastrófico"),CONCATENATE("R7C",'Administrativo '!#REF!),"")</f>
        <v>#REF!</v>
      </c>
      <c r="AM12" s="47" t="e">
        <f>IF(AND('Administrativo '!#REF!="Muy Alta",'Administrativo '!#REF!="Catastrófico"),CONCATENATE("R7C",'Administrativo '!#REF!),"")</f>
        <v>#REF!</v>
      </c>
      <c r="AN12" s="73"/>
      <c r="AO12" s="834"/>
      <c r="AP12" s="835"/>
      <c r="AQ12" s="835"/>
      <c r="AR12" s="835"/>
      <c r="AS12" s="835"/>
      <c r="AT12" s="836"/>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row>
    <row r="13" spans="1:91" ht="15" customHeight="1" x14ac:dyDescent="0.25">
      <c r="A13" s="73"/>
      <c r="B13" s="773"/>
      <c r="C13" s="773"/>
      <c r="D13" s="774"/>
      <c r="E13" s="814"/>
      <c r="F13" s="815"/>
      <c r="G13" s="815"/>
      <c r="H13" s="815"/>
      <c r="I13" s="816"/>
      <c r="J13" s="42" t="e">
        <f>IF(AND('Administrativo '!#REF!="Muy Alta",'Administrativo '!#REF!="Leve"),CONCATENATE("R8C",'Administrativo '!#REF!),"")</f>
        <v>#REF!</v>
      </c>
      <c r="K13" s="43" t="e">
        <f>IF(AND('Administrativo '!#REF!="Muy Alta",'Administrativo '!#REF!="Leve"),CONCATENATE("R8C",'Administrativo '!#REF!),"")</f>
        <v>#REF!</v>
      </c>
      <c r="L13" s="43" t="e">
        <f>IF(AND('Administrativo '!#REF!="Muy Alta",'Administrativo '!#REF!="Leve"),CONCATENATE("R8C",'Administrativo '!#REF!),"")</f>
        <v>#REF!</v>
      </c>
      <c r="M13" s="43" t="e">
        <f>IF(AND('Administrativo '!#REF!="Muy Alta",'Administrativo '!#REF!="Leve"),CONCATENATE("R8C",'Administrativo '!#REF!),"")</f>
        <v>#REF!</v>
      </c>
      <c r="N13" s="43" t="e">
        <f>IF(AND('Administrativo '!#REF!="Muy Alta",'Administrativo '!#REF!="Leve"),CONCATENATE("R8C",'Administrativo '!#REF!),"")</f>
        <v>#REF!</v>
      </c>
      <c r="O13" s="44" t="e">
        <f>IF(AND('Administrativo '!#REF!="Muy Alta",'Administrativo '!#REF!="Leve"),CONCATENATE("R8C",'Administrativo '!#REF!),"")</f>
        <v>#REF!</v>
      </c>
      <c r="P13" s="42" t="e">
        <f>IF(AND('Administrativo '!#REF!="Muy Alta",'Administrativo '!#REF!="Menor"),CONCATENATE("R8C",'Administrativo '!#REF!),"")</f>
        <v>#REF!</v>
      </c>
      <c r="Q13" s="43" t="e">
        <f>IF(AND('Administrativo '!#REF!="Muy Alta",'Administrativo '!#REF!="Menor"),CONCATENATE("R8C",'Administrativo '!#REF!),"")</f>
        <v>#REF!</v>
      </c>
      <c r="R13" s="43" t="e">
        <f>IF(AND('Administrativo '!#REF!="Muy Alta",'Administrativo '!#REF!="Menor"),CONCATENATE("R8C",'Administrativo '!#REF!),"")</f>
        <v>#REF!</v>
      </c>
      <c r="S13" s="43" t="e">
        <f>IF(AND('Administrativo '!#REF!="Muy Alta",'Administrativo '!#REF!="Menor"),CONCATENATE("R8C",'Administrativo '!#REF!),"")</f>
        <v>#REF!</v>
      </c>
      <c r="T13" s="43" t="e">
        <f>IF(AND('Administrativo '!#REF!="Muy Alta",'Administrativo '!#REF!="Menor"),CONCATENATE("R8C",'Administrativo '!#REF!),"")</f>
        <v>#REF!</v>
      </c>
      <c r="U13" s="44" t="e">
        <f>IF(AND('Administrativo '!#REF!="Muy Alta",'Administrativo '!#REF!="Menor"),CONCATENATE("R8C",'Administrativo '!#REF!),"")</f>
        <v>#REF!</v>
      </c>
      <c r="V13" s="42" t="e">
        <f>IF(AND('Administrativo '!#REF!="Muy Alta",'Administrativo '!#REF!="Moderado"),CONCATENATE("R8C",'Administrativo '!#REF!),"")</f>
        <v>#REF!</v>
      </c>
      <c r="W13" s="43" t="e">
        <f>IF(AND('Administrativo '!#REF!="Muy Alta",'Administrativo '!#REF!="Moderado"),CONCATENATE("R8C",'Administrativo '!#REF!),"")</f>
        <v>#REF!</v>
      </c>
      <c r="X13" s="43" t="e">
        <f>IF(AND('Administrativo '!#REF!="Muy Alta",'Administrativo '!#REF!="Moderado"),CONCATENATE("R8C",'Administrativo '!#REF!),"")</f>
        <v>#REF!</v>
      </c>
      <c r="Y13" s="43" t="e">
        <f>IF(AND('Administrativo '!#REF!="Muy Alta",'Administrativo '!#REF!="Moderado"),CONCATENATE("R8C",'Administrativo '!#REF!),"")</f>
        <v>#REF!</v>
      </c>
      <c r="Z13" s="43" t="e">
        <f>IF(AND('Administrativo '!#REF!="Muy Alta",'Administrativo '!#REF!="Moderado"),CONCATENATE("R8C",'Administrativo '!#REF!),"")</f>
        <v>#REF!</v>
      </c>
      <c r="AA13" s="44" t="e">
        <f>IF(AND('Administrativo '!#REF!="Muy Alta",'Administrativo '!#REF!="Moderado"),CONCATENATE("R8C",'Administrativo '!#REF!),"")</f>
        <v>#REF!</v>
      </c>
      <c r="AB13" s="42" t="e">
        <f>IF(AND('Administrativo '!#REF!="Muy Alta",'Administrativo '!#REF!="Mayor"),CONCATENATE("R8C",'Administrativo '!#REF!),"")</f>
        <v>#REF!</v>
      </c>
      <c r="AC13" s="43" t="e">
        <f>IF(AND('Administrativo '!#REF!="Muy Alta",'Administrativo '!#REF!="Mayor"),CONCATENATE("R8C",'Administrativo '!#REF!),"")</f>
        <v>#REF!</v>
      </c>
      <c r="AD13" s="43" t="e">
        <f>IF(AND('Administrativo '!#REF!="Muy Alta",'Administrativo '!#REF!="Mayor"),CONCATENATE("R8C",'Administrativo '!#REF!),"")</f>
        <v>#REF!</v>
      </c>
      <c r="AE13" s="43" t="e">
        <f>IF(AND('Administrativo '!#REF!="Muy Alta",'Administrativo '!#REF!="Mayor"),CONCATENATE("R8C",'Administrativo '!#REF!),"")</f>
        <v>#REF!</v>
      </c>
      <c r="AF13" s="43" t="e">
        <f>IF(AND('Administrativo '!#REF!="Muy Alta",'Administrativo '!#REF!="Mayor"),CONCATENATE("R8C",'Administrativo '!#REF!),"")</f>
        <v>#REF!</v>
      </c>
      <c r="AG13" s="44" t="e">
        <f>IF(AND('Administrativo '!#REF!="Muy Alta",'Administrativo '!#REF!="Mayor"),CONCATENATE("R8C",'Administrativo '!#REF!),"")</f>
        <v>#REF!</v>
      </c>
      <c r="AH13" s="45" t="e">
        <f>IF(AND('Administrativo '!#REF!="Muy Alta",'Administrativo '!#REF!="Catastrófico"),CONCATENATE("R8C",'Administrativo '!#REF!),"")</f>
        <v>#REF!</v>
      </c>
      <c r="AI13" s="46" t="e">
        <f>IF(AND('Administrativo '!#REF!="Muy Alta",'Administrativo '!#REF!="Catastrófico"),CONCATENATE("R8C",'Administrativo '!#REF!),"")</f>
        <v>#REF!</v>
      </c>
      <c r="AJ13" s="46" t="e">
        <f>IF(AND('Administrativo '!#REF!="Muy Alta",'Administrativo '!#REF!="Catastrófico"),CONCATENATE("R8C",'Administrativo '!#REF!),"")</f>
        <v>#REF!</v>
      </c>
      <c r="AK13" s="46" t="e">
        <f>IF(AND('Administrativo '!#REF!="Muy Alta",'Administrativo '!#REF!="Catastrófico"),CONCATENATE("R8C",'Administrativo '!#REF!),"")</f>
        <v>#REF!</v>
      </c>
      <c r="AL13" s="46" t="e">
        <f>IF(AND('Administrativo '!#REF!="Muy Alta",'Administrativo '!#REF!="Catastrófico"),CONCATENATE("R8C",'Administrativo '!#REF!),"")</f>
        <v>#REF!</v>
      </c>
      <c r="AM13" s="47" t="e">
        <f>IF(AND('Administrativo '!#REF!="Muy Alta",'Administrativo '!#REF!="Catastrófico"),CONCATENATE("R8C",'Administrativo '!#REF!),"")</f>
        <v>#REF!</v>
      </c>
      <c r="AN13" s="73"/>
      <c r="AO13" s="834"/>
      <c r="AP13" s="835"/>
      <c r="AQ13" s="835"/>
      <c r="AR13" s="835"/>
      <c r="AS13" s="835"/>
      <c r="AT13" s="836"/>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row>
    <row r="14" spans="1:91" ht="15" customHeight="1" x14ac:dyDescent="0.25">
      <c r="A14" s="73"/>
      <c r="B14" s="773"/>
      <c r="C14" s="773"/>
      <c r="D14" s="774"/>
      <c r="E14" s="814"/>
      <c r="F14" s="815"/>
      <c r="G14" s="815"/>
      <c r="H14" s="815"/>
      <c r="I14" s="816"/>
      <c r="J14" s="42" t="e">
        <f>IF(AND('Administrativo '!#REF!="Muy Alta",'Administrativo '!#REF!="Leve"),CONCATENATE("R9C",'Administrativo '!#REF!),"")</f>
        <v>#REF!</v>
      </c>
      <c r="K14" s="43" t="e">
        <f>IF(AND('Administrativo '!#REF!="Muy Alta",'Administrativo '!#REF!="Leve"),CONCATENATE("R9C",'Administrativo '!#REF!),"")</f>
        <v>#REF!</v>
      </c>
      <c r="L14" s="43" t="e">
        <f>IF(AND('Administrativo '!#REF!="Muy Alta",'Administrativo '!#REF!="Leve"),CONCATENATE("R9C",'Administrativo '!#REF!),"")</f>
        <v>#REF!</v>
      </c>
      <c r="M14" s="43" t="e">
        <f>IF(AND('Administrativo '!#REF!="Muy Alta",'Administrativo '!#REF!="Leve"),CONCATENATE("R9C",'Administrativo '!#REF!),"")</f>
        <v>#REF!</v>
      </c>
      <c r="N14" s="43" t="e">
        <f>IF(AND('Administrativo '!#REF!="Muy Alta",'Administrativo '!#REF!="Leve"),CONCATENATE("R9C",'Administrativo '!#REF!),"")</f>
        <v>#REF!</v>
      </c>
      <c r="O14" s="44" t="e">
        <f>IF(AND('Administrativo '!#REF!="Muy Alta",'Administrativo '!#REF!="Leve"),CONCATENATE("R9C",'Administrativo '!#REF!),"")</f>
        <v>#REF!</v>
      </c>
      <c r="P14" s="42" t="e">
        <f>IF(AND('Administrativo '!#REF!="Muy Alta",'Administrativo '!#REF!="Menor"),CONCATENATE("R9C",'Administrativo '!#REF!),"")</f>
        <v>#REF!</v>
      </c>
      <c r="Q14" s="43" t="e">
        <f>IF(AND('Administrativo '!#REF!="Muy Alta",'Administrativo '!#REF!="Menor"),CONCATENATE("R9C",'Administrativo '!#REF!),"")</f>
        <v>#REF!</v>
      </c>
      <c r="R14" s="43" t="e">
        <f>IF(AND('Administrativo '!#REF!="Muy Alta",'Administrativo '!#REF!="Menor"),CONCATENATE("R9C",'Administrativo '!#REF!),"")</f>
        <v>#REF!</v>
      </c>
      <c r="S14" s="43" t="e">
        <f>IF(AND('Administrativo '!#REF!="Muy Alta",'Administrativo '!#REF!="Menor"),CONCATENATE("R9C",'Administrativo '!#REF!),"")</f>
        <v>#REF!</v>
      </c>
      <c r="T14" s="43" t="e">
        <f>IF(AND('Administrativo '!#REF!="Muy Alta",'Administrativo '!#REF!="Menor"),CONCATENATE("R9C",'Administrativo '!#REF!),"")</f>
        <v>#REF!</v>
      </c>
      <c r="U14" s="44" t="e">
        <f>IF(AND('Administrativo '!#REF!="Muy Alta",'Administrativo '!#REF!="Menor"),CONCATENATE("R9C",'Administrativo '!#REF!),"")</f>
        <v>#REF!</v>
      </c>
      <c r="V14" s="42" t="e">
        <f>IF(AND('Administrativo '!#REF!="Muy Alta",'Administrativo '!#REF!="Moderado"),CONCATENATE("R9C",'Administrativo '!#REF!),"")</f>
        <v>#REF!</v>
      </c>
      <c r="W14" s="43" t="e">
        <f>IF(AND('Administrativo '!#REF!="Muy Alta",'Administrativo '!#REF!="Moderado"),CONCATENATE("R9C",'Administrativo '!#REF!),"")</f>
        <v>#REF!</v>
      </c>
      <c r="X14" s="43" t="e">
        <f>IF(AND('Administrativo '!#REF!="Muy Alta",'Administrativo '!#REF!="Moderado"),CONCATENATE("R9C",'Administrativo '!#REF!),"")</f>
        <v>#REF!</v>
      </c>
      <c r="Y14" s="43" t="e">
        <f>IF(AND('Administrativo '!#REF!="Muy Alta",'Administrativo '!#REF!="Moderado"),CONCATENATE("R9C",'Administrativo '!#REF!),"")</f>
        <v>#REF!</v>
      </c>
      <c r="Z14" s="43" t="e">
        <f>IF(AND('Administrativo '!#REF!="Muy Alta",'Administrativo '!#REF!="Moderado"),CONCATENATE("R9C",'Administrativo '!#REF!),"")</f>
        <v>#REF!</v>
      </c>
      <c r="AA14" s="44" t="e">
        <f>IF(AND('Administrativo '!#REF!="Muy Alta",'Administrativo '!#REF!="Moderado"),CONCATENATE("R9C",'Administrativo '!#REF!),"")</f>
        <v>#REF!</v>
      </c>
      <c r="AB14" s="42" t="e">
        <f>IF(AND('Administrativo '!#REF!="Muy Alta",'Administrativo '!#REF!="Mayor"),CONCATENATE("R9C",'Administrativo '!#REF!),"")</f>
        <v>#REF!</v>
      </c>
      <c r="AC14" s="43" t="e">
        <f>IF(AND('Administrativo '!#REF!="Muy Alta",'Administrativo '!#REF!="Mayor"),CONCATENATE("R9C",'Administrativo '!#REF!),"")</f>
        <v>#REF!</v>
      </c>
      <c r="AD14" s="43" t="e">
        <f>IF(AND('Administrativo '!#REF!="Muy Alta",'Administrativo '!#REF!="Mayor"),CONCATENATE("R9C",'Administrativo '!#REF!),"")</f>
        <v>#REF!</v>
      </c>
      <c r="AE14" s="43" t="e">
        <f>IF(AND('Administrativo '!#REF!="Muy Alta",'Administrativo '!#REF!="Mayor"),CONCATENATE("R9C",'Administrativo '!#REF!),"")</f>
        <v>#REF!</v>
      </c>
      <c r="AF14" s="43" t="e">
        <f>IF(AND('Administrativo '!#REF!="Muy Alta",'Administrativo '!#REF!="Mayor"),CONCATENATE("R9C",'Administrativo '!#REF!),"")</f>
        <v>#REF!</v>
      </c>
      <c r="AG14" s="44" t="e">
        <f>IF(AND('Administrativo '!#REF!="Muy Alta",'Administrativo '!#REF!="Mayor"),CONCATENATE("R9C",'Administrativo '!#REF!),"")</f>
        <v>#REF!</v>
      </c>
      <c r="AH14" s="45" t="e">
        <f>IF(AND('Administrativo '!#REF!="Muy Alta",'Administrativo '!#REF!="Catastrófico"),CONCATENATE("R9C",'Administrativo '!#REF!),"")</f>
        <v>#REF!</v>
      </c>
      <c r="AI14" s="46" t="e">
        <f>IF(AND('Administrativo '!#REF!="Muy Alta",'Administrativo '!#REF!="Catastrófico"),CONCATENATE("R9C",'Administrativo '!#REF!),"")</f>
        <v>#REF!</v>
      </c>
      <c r="AJ14" s="46" t="e">
        <f>IF(AND('Administrativo '!#REF!="Muy Alta",'Administrativo '!#REF!="Catastrófico"),CONCATENATE("R9C",'Administrativo '!#REF!),"")</f>
        <v>#REF!</v>
      </c>
      <c r="AK14" s="46" t="e">
        <f>IF(AND('Administrativo '!#REF!="Muy Alta",'Administrativo '!#REF!="Catastrófico"),CONCATENATE("R9C",'Administrativo '!#REF!),"")</f>
        <v>#REF!</v>
      </c>
      <c r="AL14" s="46" t="e">
        <f>IF(AND('Administrativo '!#REF!="Muy Alta",'Administrativo '!#REF!="Catastrófico"),CONCATENATE("R9C",'Administrativo '!#REF!),"")</f>
        <v>#REF!</v>
      </c>
      <c r="AM14" s="47" t="e">
        <f>IF(AND('Administrativo '!#REF!="Muy Alta",'Administrativo '!#REF!="Catastrófico"),CONCATENATE("R9C",'Administrativo '!#REF!),"")</f>
        <v>#REF!</v>
      </c>
      <c r="AN14" s="73"/>
      <c r="AO14" s="834"/>
      <c r="AP14" s="835"/>
      <c r="AQ14" s="835"/>
      <c r="AR14" s="835"/>
      <c r="AS14" s="835"/>
      <c r="AT14" s="836"/>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row>
    <row r="15" spans="1:91" ht="15.75" customHeight="1" thickBot="1" x14ac:dyDescent="0.3">
      <c r="A15" s="73"/>
      <c r="B15" s="773"/>
      <c r="C15" s="773"/>
      <c r="D15" s="774"/>
      <c r="E15" s="817"/>
      <c r="F15" s="818"/>
      <c r="G15" s="818"/>
      <c r="H15" s="818"/>
      <c r="I15" s="819"/>
      <c r="J15" s="48" t="e">
        <f>IF(AND('Administrativo '!#REF!="Muy Alta",'Administrativo '!#REF!="Leve"),CONCATENATE("R10C",'Administrativo '!#REF!),"")</f>
        <v>#REF!</v>
      </c>
      <c r="K15" s="49" t="e">
        <f>IF(AND('Administrativo '!#REF!="Muy Alta",'Administrativo '!#REF!="Leve"),CONCATENATE("R10C",'Administrativo '!#REF!),"")</f>
        <v>#REF!</v>
      </c>
      <c r="L15" s="49" t="e">
        <f>IF(AND('Administrativo '!#REF!="Muy Alta",'Administrativo '!#REF!="Leve"),CONCATENATE("R10C",'Administrativo '!#REF!),"")</f>
        <v>#REF!</v>
      </c>
      <c r="M15" s="49" t="e">
        <f>IF(AND('Administrativo '!#REF!="Muy Alta",'Administrativo '!#REF!="Leve"),CONCATENATE("R10C",'Administrativo '!#REF!),"")</f>
        <v>#REF!</v>
      </c>
      <c r="N15" s="49" t="e">
        <f>IF(AND('Administrativo '!#REF!="Muy Alta",'Administrativo '!#REF!="Leve"),CONCATENATE("R10C",'Administrativo '!#REF!),"")</f>
        <v>#REF!</v>
      </c>
      <c r="O15" s="50" t="e">
        <f>IF(AND('Administrativo '!#REF!="Muy Alta",'Administrativo '!#REF!="Leve"),CONCATENATE("R10C",'Administrativo '!#REF!),"")</f>
        <v>#REF!</v>
      </c>
      <c r="P15" s="42" t="e">
        <f>IF(AND('Administrativo '!#REF!="Muy Alta",'Administrativo '!#REF!="Menor"),CONCATENATE("R10C",'Administrativo '!#REF!),"")</f>
        <v>#REF!</v>
      </c>
      <c r="Q15" s="43" t="e">
        <f>IF(AND('Administrativo '!#REF!="Muy Alta",'Administrativo '!#REF!="Menor"),CONCATENATE("R10C",'Administrativo '!#REF!),"")</f>
        <v>#REF!</v>
      </c>
      <c r="R15" s="43" t="e">
        <f>IF(AND('Administrativo '!#REF!="Muy Alta",'Administrativo '!#REF!="Menor"),CONCATENATE("R10C",'Administrativo '!#REF!),"")</f>
        <v>#REF!</v>
      </c>
      <c r="S15" s="43" t="e">
        <f>IF(AND('Administrativo '!#REF!="Muy Alta",'Administrativo '!#REF!="Menor"),CONCATENATE("R10C",'Administrativo '!#REF!),"")</f>
        <v>#REF!</v>
      </c>
      <c r="T15" s="43" t="e">
        <f>IF(AND('Administrativo '!#REF!="Muy Alta",'Administrativo '!#REF!="Menor"),CONCATENATE("R10C",'Administrativo '!#REF!),"")</f>
        <v>#REF!</v>
      </c>
      <c r="U15" s="44" t="e">
        <f>IF(AND('Administrativo '!#REF!="Muy Alta",'Administrativo '!#REF!="Menor"),CONCATENATE("R10C",'Administrativo '!#REF!),"")</f>
        <v>#REF!</v>
      </c>
      <c r="V15" s="48" t="e">
        <f>IF(AND('Administrativo '!#REF!="Muy Alta",'Administrativo '!#REF!="Moderado"),CONCATENATE("R10C",'Administrativo '!#REF!),"")</f>
        <v>#REF!</v>
      </c>
      <c r="W15" s="49" t="e">
        <f>IF(AND('Administrativo '!#REF!="Muy Alta",'Administrativo '!#REF!="Moderado"),CONCATENATE("R10C",'Administrativo '!#REF!),"")</f>
        <v>#REF!</v>
      </c>
      <c r="X15" s="49" t="e">
        <f>IF(AND('Administrativo '!#REF!="Muy Alta",'Administrativo '!#REF!="Moderado"),CONCATENATE("R10C",'Administrativo '!#REF!),"")</f>
        <v>#REF!</v>
      </c>
      <c r="Y15" s="49" t="e">
        <f>IF(AND('Administrativo '!#REF!="Muy Alta",'Administrativo '!#REF!="Moderado"),CONCATENATE("R10C",'Administrativo '!#REF!),"")</f>
        <v>#REF!</v>
      </c>
      <c r="Z15" s="49" t="e">
        <f>IF(AND('Administrativo '!#REF!="Muy Alta",'Administrativo '!#REF!="Moderado"),CONCATENATE("R10C",'Administrativo '!#REF!),"")</f>
        <v>#REF!</v>
      </c>
      <c r="AA15" s="50" t="e">
        <f>IF(AND('Administrativo '!#REF!="Muy Alta",'Administrativo '!#REF!="Moderado"),CONCATENATE("R10C",'Administrativo '!#REF!),"")</f>
        <v>#REF!</v>
      </c>
      <c r="AB15" s="42" t="e">
        <f>IF(AND('Administrativo '!#REF!="Muy Alta",'Administrativo '!#REF!="Mayor"),CONCATENATE("R10C",'Administrativo '!#REF!),"")</f>
        <v>#REF!</v>
      </c>
      <c r="AC15" s="43" t="e">
        <f>IF(AND('Administrativo '!#REF!="Muy Alta",'Administrativo '!#REF!="Mayor"),CONCATENATE("R10C",'Administrativo '!#REF!),"")</f>
        <v>#REF!</v>
      </c>
      <c r="AD15" s="43" t="e">
        <f>IF(AND('Administrativo '!#REF!="Muy Alta",'Administrativo '!#REF!="Mayor"),CONCATENATE("R10C",'Administrativo '!#REF!),"")</f>
        <v>#REF!</v>
      </c>
      <c r="AE15" s="43" t="e">
        <f>IF(AND('Administrativo '!#REF!="Muy Alta",'Administrativo '!#REF!="Mayor"),CONCATENATE("R10C",'Administrativo '!#REF!),"")</f>
        <v>#REF!</v>
      </c>
      <c r="AF15" s="43" t="e">
        <f>IF(AND('Administrativo '!#REF!="Muy Alta",'Administrativo '!#REF!="Mayor"),CONCATENATE("R10C",'Administrativo '!#REF!),"")</f>
        <v>#REF!</v>
      </c>
      <c r="AG15" s="44" t="e">
        <f>IF(AND('Administrativo '!#REF!="Muy Alta",'Administrativo '!#REF!="Mayor"),CONCATENATE("R10C",'Administrativo '!#REF!),"")</f>
        <v>#REF!</v>
      </c>
      <c r="AH15" s="51" t="e">
        <f>IF(AND('Administrativo '!#REF!="Muy Alta",'Administrativo '!#REF!="Catastrófico"),CONCATENATE("R10C",'Administrativo '!#REF!),"")</f>
        <v>#REF!</v>
      </c>
      <c r="AI15" s="52" t="e">
        <f>IF(AND('Administrativo '!#REF!="Muy Alta",'Administrativo '!#REF!="Catastrófico"),CONCATENATE("R10C",'Administrativo '!#REF!),"")</f>
        <v>#REF!</v>
      </c>
      <c r="AJ15" s="52" t="e">
        <f>IF(AND('Administrativo '!#REF!="Muy Alta",'Administrativo '!#REF!="Catastrófico"),CONCATENATE("R10C",'Administrativo '!#REF!),"")</f>
        <v>#REF!</v>
      </c>
      <c r="AK15" s="52" t="e">
        <f>IF(AND('Administrativo '!#REF!="Muy Alta",'Administrativo '!#REF!="Catastrófico"),CONCATENATE("R10C",'Administrativo '!#REF!),"")</f>
        <v>#REF!</v>
      </c>
      <c r="AL15" s="52" t="e">
        <f>IF(AND('Administrativo '!#REF!="Muy Alta",'Administrativo '!#REF!="Catastrófico"),CONCATENATE("R10C",'Administrativo '!#REF!),"")</f>
        <v>#REF!</v>
      </c>
      <c r="AM15" s="53" t="e">
        <f>IF(AND('Administrativo '!#REF!="Muy Alta",'Administrativo '!#REF!="Catastrófico"),CONCATENATE("R10C",'Administrativo '!#REF!),"")</f>
        <v>#REF!</v>
      </c>
      <c r="AN15" s="73"/>
      <c r="AO15" s="837"/>
      <c r="AP15" s="838"/>
      <c r="AQ15" s="838"/>
      <c r="AR15" s="838"/>
      <c r="AS15" s="838"/>
      <c r="AT15" s="839"/>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row>
    <row r="16" spans="1:91" ht="15" customHeight="1" x14ac:dyDescent="0.25">
      <c r="A16" s="73"/>
      <c r="B16" s="773"/>
      <c r="C16" s="773"/>
      <c r="D16" s="774"/>
      <c r="E16" s="811" t="s">
        <v>111</v>
      </c>
      <c r="F16" s="812"/>
      <c r="G16" s="812"/>
      <c r="H16" s="812"/>
      <c r="I16" s="812"/>
      <c r="J16" s="54" t="str">
        <f>IF(AND('Administrativo '!$Y$10="Alta",'Administrativo '!$AA$10="Leve"),CONCATENATE("R1C",'Administrativo '!$O$10),"")</f>
        <v/>
      </c>
      <c r="K16" s="55" t="str">
        <f>IF(AND('Administrativo '!$Y$11="Alta",'Administrativo '!$AA$11="Leve"),CONCATENATE("R1C",'Administrativo '!$O$11),"")</f>
        <v/>
      </c>
      <c r="L16" s="55" t="e">
        <f>IF(AND('Administrativo '!#REF!="Alta",'Administrativo '!#REF!="Leve"),CONCATENATE("R1C",'Administrativo '!#REF!),"")</f>
        <v>#REF!</v>
      </c>
      <c r="M16" s="55" t="e">
        <f>IF(AND('Administrativo '!#REF!="Alta",'Administrativo '!#REF!="Leve"),CONCATENATE("R1C",'Administrativo '!#REF!),"")</f>
        <v>#REF!</v>
      </c>
      <c r="N16" s="55" t="e">
        <f>IF(AND('Administrativo '!#REF!="Alta",'Administrativo '!#REF!="Leve"),CONCATENATE("R1C",'Administrativo '!#REF!),"")</f>
        <v>#REF!</v>
      </c>
      <c r="O16" s="56" t="e">
        <f>IF(AND('Administrativo '!#REF!="Alta",'Administrativo '!#REF!="Leve"),CONCATENATE("R1C",'Administrativo '!#REF!),"")</f>
        <v>#REF!</v>
      </c>
      <c r="P16" s="54" t="str">
        <f>IF(AND('Administrativo '!$Y$10="Alta",'Administrativo '!$AA$10="Menor"),CONCATENATE("R1C",'Administrativo '!$O$10),"")</f>
        <v/>
      </c>
      <c r="Q16" s="55" t="str">
        <f>IF(AND('Administrativo '!$Y$11="Alta",'Administrativo '!$AA$11="Menor"),CONCATENATE("R1C",'Administrativo '!$O$11),"")</f>
        <v/>
      </c>
      <c r="R16" s="55" t="e">
        <f>IF(AND('Administrativo '!#REF!="Alta",'Administrativo '!#REF!="Menor"),CONCATENATE("R1C",'Administrativo '!#REF!),"")</f>
        <v>#REF!</v>
      </c>
      <c r="S16" s="55" t="e">
        <f>IF(AND('Administrativo '!#REF!="Alta",'Administrativo '!#REF!="Menor"),CONCATENATE("R1C",'Administrativo '!#REF!),"")</f>
        <v>#REF!</v>
      </c>
      <c r="T16" s="55" t="e">
        <f>IF(AND('Administrativo '!#REF!="Alta",'Administrativo '!#REF!="Menor"),CONCATENATE("R1C",'Administrativo '!#REF!),"")</f>
        <v>#REF!</v>
      </c>
      <c r="U16" s="56" t="e">
        <f>IF(AND('Administrativo '!#REF!="Alta",'Administrativo '!#REF!="Menor"),CONCATENATE("R1C",'Administrativo '!#REF!),"")</f>
        <v>#REF!</v>
      </c>
      <c r="V16" s="36" t="str">
        <f>IF(AND('Administrativo '!$Y$10="Alta",'Administrativo '!$AA$10="Moderado"),CONCATENATE("R1C",'Administrativo '!$O$10),"")</f>
        <v/>
      </c>
      <c r="W16" s="37" t="str">
        <f>IF(AND('Administrativo '!$Y$11="Alta",'Administrativo '!$AA$11="Moderado"),CONCATENATE("R1C",'Administrativo '!$O$11),"")</f>
        <v/>
      </c>
      <c r="X16" s="37" t="e">
        <f>IF(AND('Administrativo '!#REF!="Alta",'Administrativo '!#REF!="Moderado"),CONCATENATE("R1C",'Administrativo '!#REF!),"")</f>
        <v>#REF!</v>
      </c>
      <c r="Y16" s="37" t="e">
        <f>IF(AND('Administrativo '!#REF!="Alta",'Administrativo '!#REF!="Moderado"),CONCATENATE("R1C",'Administrativo '!#REF!),"")</f>
        <v>#REF!</v>
      </c>
      <c r="Z16" s="37" t="e">
        <f>IF(AND('Administrativo '!#REF!="Alta",'Administrativo '!#REF!="Moderado"),CONCATENATE("R1C",'Administrativo '!#REF!),"")</f>
        <v>#REF!</v>
      </c>
      <c r="AA16" s="38" t="e">
        <f>IF(AND('Administrativo '!#REF!="Alta",'Administrativo '!#REF!="Moderado"),CONCATENATE("R1C",'Administrativo '!#REF!),"")</f>
        <v>#REF!</v>
      </c>
      <c r="AB16" s="36" t="str">
        <f>IF(AND('Administrativo '!$Y$10="Alta",'Administrativo '!$AA$10="Mayor"),CONCATENATE("R1C",'Administrativo '!$O$10),"")</f>
        <v/>
      </c>
      <c r="AC16" s="37" t="str">
        <f>IF(AND('Administrativo '!$Y$11="Alta",'Administrativo '!$AA$11="Mayor"),CONCATENATE("R1C",'Administrativo '!$O$11),"")</f>
        <v/>
      </c>
      <c r="AD16" s="37" t="e">
        <f>IF(AND('Administrativo '!#REF!="Alta",'Administrativo '!#REF!="Mayor"),CONCATENATE("R1C",'Administrativo '!#REF!),"")</f>
        <v>#REF!</v>
      </c>
      <c r="AE16" s="37" t="e">
        <f>IF(AND('Administrativo '!#REF!="Alta",'Administrativo '!#REF!="Mayor"),CONCATENATE("R1C",'Administrativo '!#REF!),"")</f>
        <v>#REF!</v>
      </c>
      <c r="AF16" s="37" t="e">
        <f>IF(AND('Administrativo '!#REF!="Alta",'Administrativo '!#REF!="Mayor"),CONCATENATE("R1C",'Administrativo '!#REF!),"")</f>
        <v>#REF!</v>
      </c>
      <c r="AG16" s="38" t="e">
        <f>IF(AND('Administrativo '!#REF!="Alta",'Administrativo '!#REF!="Mayor"),CONCATENATE("R1C",'Administrativo '!#REF!),"")</f>
        <v>#REF!</v>
      </c>
      <c r="AH16" s="39" t="str">
        <f>IF(AND('Administrativo '!$Y$10="Alta",'Administrativo '!$AA$10="Catastrófico"),CONCATENATE("R1C",'Administrativo '!$O$10),"")</f>
        <v/>
      </c>
      <c r="AI16" s="40" t="str">
        <f>IF(AND('Administrativo '!$Y$11="Alta",'Administrativo '!$AA$11="Catastrófico"),CONCATENATE("R1C",'Administrativo '!$O$11),"")</f>
        <v/>
      </c>
      <c r="AJ16" s="40" t="e">
        <f>IF(AND('Administrativo '!#REF!="Alta",'Administrativo '!#REF!="Catastrófico"),CONCATENATE("R1C",'Administrativo '!#REF!),"")</f>
        <v>#REF!</v>
      </c>
      <c r="AK16" s="40" t="e">
        <f>IF(AND('Administrativo '!#REF!="Alta",'Administrativo '!#REF!="Catastrófico"),CONCATENATE("R1C",'Administrativo '!#REF!),"")</f>
        <v>#REF!</v>
      </c>
      <c r="AL16" s="40" t="e">
        <f>IF(AND('Administrativo '!#REF!="Alta",'Administrativo '!#REF!="Catastrófico"),CONCATENATE("R1C",'Administrativo '!#REF!),"")</f>
        <v>#REF!</v>
      </c>
      <c r="AM16" s="41" t="e">
        <f>IF(AND('Administrativo '!#REF!="Alta",'Administrativo '!#REF!="Catastrófico"),CONCATENATE("R1C",'Administrativo '!#REF!),"")</f>
        <v>#REF!</v>
      </c>
      <c r="AN16" s="73"/>
      <c r="AO16" s="821" t="s">
        <v>112</v>
      </c>
      <c r="AP16" s="822"/>
      <c r="AQ16" s="822"/>
      <c r="AR16" s="822"/>
      <c r="AS16" s="822"/>
      <c r="AT16" s="82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row>
    <row r="17" spans="1:76" ht="15" customHeight="1" x14ac:dyDescent="0.25">
      <c r="A17" s="73"/>
      <c r="B17" s="773"/>
      <c r="C17" s="773"/>
      <c r="D17" s="774"/>
      <c r="E17" s="830"/>
      <c r="F17" s="815"/>
      <c r="G17" s="815"/>
      <c r="H17" s="815"/>
      <c r="I17" s="815"/>
      <c r="J17" s="57" t="e">
        <f>IF(AND('Administrativo '!#REF!="Alta",'Administrativo '!#REF!="Leve"),CONCATENATE("R2C",'Administrativo '!#REF!),"")</f>
        <v>#REF!</v>
      </c>
      <c r="K17" s="58" t="e">
        <f>IF(AND('Administrativo '!#REF!="Alta",'Administrativo '!#REF!="Leve"),CONCATENATE("R2C",'Administrativo '!#REF!),"")</f>
        <v>#REF!</v>
      </c>
      <c r="L17" s="58" t="e">
        <f>IF(AND('Administrativo '!#REF!="Alta",'Administrativo '!#REF!="Leve"),CONCATENATE("R2C",'Administrativo '!#REF!),"")</f>
        <v>#REF!</v>
      </c>
      <c r="M17" s="58" t="e">
        <f>IF(AND('Administrativo '!#REF!="Alta",'Administrativo '!#REF!="Leve"),CONCATENATE("R2C",'Administrativo '!#REF!),"")</f>
        <v>#REF!</v>
      </c>
      <c r="N17" s="58" t="e">
        <f>IF(AND('Administrativo '!#REF!="Alta",'Administrativo '!#REF!="Leve"),CONCATENATE("R2C",'Administrativo '!#REF!),"")</f>
        <v>#REF!</v>
      </c>
      <c r="O17" s="59" t="e">
        <f>IF(AND('Administrativo '!#REF!="Alta",'Administrativo '!#REF!="Leve"),CONCATENATE("R2C",'Administrativo '!#REF!),"")</f>
        <v>#REF!</v>
      </c>
      <c r="P17" s="57" t="e">
        <f>IF(AND('Administrativo '!#REF!="Alta",'Administrativo '!#REF!="Menor"),CONCATENATE("R2C",'Administrativo '!#REF!),"")</f>
        <v>#REF!</v>
      </c>
      <c r="Q17" s="58" t="e">
        <f>IF(AND('Administrativo '!#REF!="Alta",'Administrativo '!#REF!="Menor"),CONCATENATE("R2C",'Administrativo '!#REF!),"")</f>
        <v>#REF!</v>
      </c>
      <c r="R17" s="58" t="e">
        <f>IF(AND('Administrativo '!#REF!="Alta",'Administrativo '!#REF!="Menor"),CONCATENATE("R2C",'Administrativo '!#REF!),"")</f>
        <v>#REF!</v>
      </c>
      <c r="S17" s="58" t="e">
        <f>IF(AND('Administrativo '!#REF!="Alta",'Administrativo '!#REF!="Menor"),CONCATENATE("R2C",'Administrativo '!#REF!),"")</f>
        <v>#REF!</v>
      </c>
      <c r="T17" s="58" t="e">
        <f>IF(AND('Administrativo '!#REF!="Alta",'Administrativo '!#REF!="Menor"),CONCATENATE("R2C",'Administrativo '!#REF!),"")</f>
        <v>#REF!</v>
      </c>
      <c r="U17" s="59" t="e">
        <f>IF(AND('Administrativo '!#REF!="Alta",'Administrativo '!#REF!="Menor"),CONCATENATE("R2C",'Administrativo '!#REF!),"")</f>
        <v>#REF!</v>
      </c>
      <c r="V17" s="42" t="e">
        <f>IF(AND('Administrativo '!#REF!="Alta",'Administrativo '!#REF!="Moderado"),CONCATENATE("R2C",'Administrativo '!#REF!),"")</f>
        <v>#REF!</v>
      </c>
      <c r="W17" s="43" t="e">
        <f>IF(AND('Administrativo '!#REF!="Alta",'Administrativo '!#REF!="Moderado"),CONCATENATE("R2C",'Administrativo '!#REF!),"")</f>
        <v>#REF!</v>
      </c>
      <c r="X17" s="43" t="e">
        <f>IF(AND('Administrativo '!#REF!="Alta",'Administrativo '!#REF!="Moderado"),CONCATENATE("R2C",'Administrativo '!#REF!),"")</f>
        <v>#REF!</v>
      </c>
      <c r="Y17" s="43" t="e">
        <f>IF(AND('Administrativo '!#REF!="Alta",'Administrativo '!#REF!="Moderado"),CONCATENATE("R2C",'Administrativo '!#REF!),"")</f>
        <v>#REF!</v>
      </c>
      <c r="Z17" s="43" t="e">
        <f>IF(AND('Administrativo '!#REF!="Alta",'Administrativo '!#REF!="Moderado"),CONCATENATE("R2C",'Administrativo '!#REF!),"")</f>
        <v>#REF!</v>
      </c>
      <c r="AA17" s="44" t="e">
        <f>IF(AND('Administrativo '!#REF!="Alta",'Administrativo '!#REF!="Moderado"),CONCATENATE("R2C",'Administrativo '!#REF!),"")</f>
        <v>#REF!</v>
      </c>
      <c r="AB17" s="42" t="e">
        <f>IF(AND('Administrativo '!#REF!="Alta",'Administrativo '!#REF!="Mayor"),CONCATENATE("R2C",'Administrativo '!#REF!),"")</f>
        <v>#REF!</v>
      </c>
      <c r="AC17" s="43" t="e">
        <f>IF(AND('Administrativo '!#REF!="Alta",'Administrativo '!#REF!="Mayor"),CONCATENATE("R2C",'Administrativo '!#REF!),"")</f>
        <v>#REF!</v>
      </c>
      <c r="AD17" s="43" t="e">
        <f>IF(AND('Administrativo '!#REF!="Alta",'Administrativo '!#REF!="Mayor"),CONCATENATE("R2C",'Administrativo '!#REF!),"")</f>
        <v>#REF!</v>
      </c>
      <c r="AE17" s="43" t="e">
        <f>IF(AND('Administrativo '!#REF!="Alta",'Administrativo '!#REF!="Mayor"),CONCATENATE("R2C",'Administrativo '!#REF!),"")</f>
        <v>#REF!</v>
      </c>
      <c r="AF17" s="43" t="e">
        <f>IF(AND('Administrativo '!#REF!="Alta",'Administrativo '!#REF!="Mayor"),CONCATENATE("R2C",'Administrativo '!#REF!),"")</f>
        <v>#REF!</v>
      </c>
      <c r="AG17" s="44" t="e">
        <f>IF(AND('Administrativo '!#REF!="Alta",'Administrativo '!#REF!="Mayor"),CONCATENATE("R2C",'Administrativo '!#REF!),"")</f>
        <v>#REF!</v>
      </c>
      <c r="AH17" s="45" t="e">
        <f>IF(AND('Administrativo '!#REF!="Alta",'Administrativo '!#REF!="Catastrófico"),CONCATENATE("R2C",'Administrativo '!#REF!),"")</f>
        <v>#REF!</v>
      </c>
      <c r="AI17" s="46" t="e">
        <f>IF(AND('Administrativo '!#REF!="Alta",'Administrativo '!#REF!="Catastrófico"),CONCATENATE("R2C",'Administrativo '!#REF!),"")</f>
        <v>#REF!</v>
      </c>
      <c r="AJ17" s="46" t="e">
        <f>IF(AND('Administrativo '!#REF!="Alta",'Administrativo '!#REF!="Catastrófico"),CONCATENATE("R2C",'Administrativo '!#REF!),"")</f>
        <v>#REF!</v>
      </c>
      <c r="AK17" s="46" t="e">
        <f>IF(AND('Administrativo '!#REF!="Alta",'Administrativo '!#REF!="Catastrófico"),CONCATENATE("R2C",'Administrativo '!#REF!),"")</f>
        <v>#REF!</v>
      </c>
      <c r="AL17" s="46" t="e">
        <f>IF(AND('Administrativo '!#REF!="Alta",'Administrativo '!#REF!="Catastrófico"),CONCATENATE("R2C",'Administrativo '!#REF!),"")</f>
        <v>#REF!</v>
      </c>
      <c r="AM17" s="47" t="e">
        <f>IF(AND('Administrativo '!#REF!="Alta",'Administrativo '!#REF!="Catastrófico"),CONCATENATE("R2C",'Administrativo '!#REF!),"")</f>
        <v>#REF!</v>
      </c>
      <c r="AN17" s="73"/>
      <c r="AO17" s="824"/>
      <c r="AP17" s="825"/>
      <c r="AQ17" s="825"/>
      <c r="AR17" s="825"/>
      <c r="AS17" s="825"/>
      <c r="AT17" s="826"/>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row>
    <row r="18" spans="1:76" ht="15" customHeight="1" x14ac:dyDescent="0.25">
      <c r="A18" s="73"/>
      <c r="B18" s="773"/>
      <c r="C18" s="773"/>
      <c r="D18" s="774"/>
      <c r="E18" s="814"/>
      <c r="F18" s="815"/>
      <c r="G18" s="815"/>
      <c r="H18" s="815"/>
      <c r="I18" s="815"/>
      <c r="J18" s="57" t="e">
        <f>IF(AND('Administrativo '!#REF!="Alta",'Administrativo '!#REF!="Leve"),CONCATENATE("R3C",'Administrativo '!#REF!),"")</f>
        <v>#REF!</v>
      </c>
      <c r="K18" s="58" t="e">
        <f>IF(AND('Administrativo '!#REF!="Alta",'Administrativo '!#REF!="Leve"),CONCATENATE("R3C",'Administrativo '!#REF!),"")</f>
        <v>#REF!</v>
      </c>
      <c r="L18" s="58" t="e">
        <f>IF(AND('Administrativo '!#REF!="Alta",'Administrativo '!#REF!="Leve"),CONCATENATE("R3C",'Administrativo '!#REF!),"")</f>
        <v>#REF!</v>
      </c>
      <c r="M18" s="58" t="e">
        <f>IF(AND('Administrativo '!#REF!="Alta",'Administrativo '!#REF!="Leve"),CONCATENATE("R3C",'Administrativo '!#REF!),"")</f>
        <v>#REF!</v>
      </c>
      <c r="N18" s="58" t="e">
        <f>IF(AND('Administrativo '!#REF!="Alta",'Administrativo '!#REF!="Leve"),CONCATENATE("R3C",'Administrativo '!#REF!),"")</f>
        <v>#REF!</v>
      </c>
      <c r="O18" s="59" t="e">
        <f>IF(AND('Administrativo '!#REF!="Alta",'Administrativo '!#REF!="Leve"),CONCATENATE("R3C",'Administrativo '!#REF!),"")</f>
        <v>#REF!</v>
      </c>
      <c r="P18" s="57" t="e">
        <f>IF(AND('Administrativo '!#REF!="Alta",'Administrativo '!#REF!="Menor"),CONCATENATE("R3C",'Administrativo '!#REF!),"")</f>
        <v>#REF!</v>
      </c>
      <c r="Q18" s="58" t="e">
        <f>IF(AND('Administrativo '!#REF!="Alta",'Administrativo '!#REF!="Menor"),CONCATENATE("R3C",'Administrativo '!#REF!),"")</f>
        <v>#REF!</v>
      </c>
      <c r="R18" s="58" t="e">
        <f>IF(AND('Administrativo '!#REF!="Alta",'Administrativo '!#REF!="Menor"),CONCATENATE("R3C",'Administrativo '!#REF!),"")</f>
        <v>#REF!</v>
      </c>
      <c r="S18" s="58" t="e">
        <f>IF(AND('Administrativo '!#REF!="Alta",'Administrativo '!#REF!="Menor"),CONCATENATE("R3C",'Administrativo '!#REF!),"")</f>
        <v>#REF!</v>
      </c>
      <c r="T18" s="58" t="e">
        <f>IF(AND('Administrativo '!#REF!="Alta",'Administrativo '!#REF!="Menor"),CONCATENATE("R3C",'Administrativo '!#REF!),"")</f>
        <v>#REF!</v>
      </c>
      <c r="U18" s="59" t="e">
        <f>IF(AND('Administrativo '!#REF!="Alta",'Administrativo '!#REF!="Menor"),CONCATENATE("R3C",'Administrativo '!#REF!),"")</f>
        <v>#REF!</v>
      </c>
      <c r="V18" s="42" t="e">
        <f>IF(AND('Administrativo '!#REF!="Alta",'Administrativo '!#REF!="Moderado"),CONCATENATE("R3C",'Administrativo '!#REF!),"")</f>
        <v>#REF!</v>
      </c>
      <c r="W18" s="43" t="e">
        <f>IF(AND('Administrativo '!#REF!="Alta",'Administrativo '!#REF!="Moderado"),CONCATENATE("R3C",'Administrativo '!#REF!),"")</f>
        <v>#REF!</v>
      </c>
      <c r="X18" s="43" t="e">
        <f>IF(AND('Administrativo '!#REF!="Alta",'Administrativo '!#REF!="Moderado"),CONCATENATE("R3C",'Administrativo '!#REF!),"")</f>
        <v>#REF!</v>
      </c>
      <c r="Y18" s="43" t="e">
        <f>IF(AND('Administrativo '!#REF!="Alta",'Administrativo '!#REF!="Moderado"),CONCATENATE("R3C",'Administrativo '!#REF!),"")</f>
        <v>#REF!</v>
      </c>
      <c r="Z18" s="43" t="e">
        <f>IF(AND('Administrativo '!#REF!="Alta",'Administrativo '!#REF!="Moderado"),CONCATENATE("R3C",'Administrativo '!#REF!),"")</f>
        <v>#REF!</v>
      </c>
      <c r="AA18" s="44" t="e">
        <f>IF(AND('Administrativo '!#REF!="Alta",'Administrativo '!#REF!="Moderado"),CONCATENATE("R3C",'Administrativo '!#REF!),"")</f>
        <v>#REF!</v>
      </c>
      <c r="AB18" s="42" t="e">
        <f>IF(AND('Administrativo '!#REF!="Alta",'Administrativo '!#REF!="Mayor"),CONCATENATE("R3C",'Administrativo '!#REF!),"")</f>
        <v>#REF!</v>
      </c>
      <c r="AC18" s="43" t="e">
        <f>IF(AND('Administrativo '!#REF!="Alta",'Administrativo '!#REF!="Mayor"),CONCATENATE("R3C",'Administrativo '!#REF!),"")</f>
        <v>#REF!</v>
      </c>
      <c r="AD18" s="43" t="e">
        <f>IF(AND('Administrativo '!#REF!="Alta",'Administrativo '!#REF!="Mayor"),CONCATENATE("R3C",'Administrativo '!#REF!),"")</f>
        <v>#REF!</v>
      </c>
      <c r="AE18" s="43" t="e">
        <f>IF(AND('Administrativo '!#REF!="Alta",'Administrativo '!#REF!="Mayor"),CONCATENATE("R3C",'Administrativo '!#REF!),"")</f>
        <v>#REF!</v>
      </c>
      <c r="AF18" s="43" t="e">
        <f>IF(AND('Administrativo '!#REF!="Alta",'Administrativo '!#REF!="Mayor"),CONCATENATE("R3C",'Administrativo '!#REF!),"")</f>
        <v>#REF!</v>
      </c>
      <c r="AG18" s="44" t="e">
        <f>IF(AND('Administrativo '!#REF!="Alta",'Administrativo '!#REF!="Mayor"),CONCATENATE("R3C",'Administrativo '!#REF!),"")</f>
        <v>#REF!</v>
      </c>
      <c r="AH18" s="45" t="e">
        <f>IF(AND('Administrativo '!#REF!="Alta",'Administrativo '!#REF!="Catastrófico"),CONCATENATE("R3C",'Administrativo '!#REF!),"")</f>
        <v>#REF!</v>
      </c>
      <c r="AI18" s="46" t="e">
        <f>IF(AND('Administrativo '!#REF!="Alta",'Administrativo '!#REF!="Catastrófico"),CONCATENATE("R3C",'Administrativo '!#REF!),"")</f>
        <v>#REF!</v>
      </c>
      <c r="AJ18" s="46" t="e">
        <f>IF(AND('Administrativo '!#REF!="Alta",'Administrativo '!#REF!="Catastrófico"),CONCATENATE("R3C",'Administrativo '!#REF!),"")</f>
        <v>#REF!</v>
      </c>
      <c r="AK18" s="46" t="e">
        <f>IF(AND('Administrativo '!#REF!="Alta",'Administrativo '!#REF!="Catastrófico"),CONCATENATE("R3C",'Administrativo '!#REF!),"")</f>
        <v>#REF!</v>
      </c>
      <c r="AL18" s="46" t="e">
        <f>IF(AND('Administrativo '!#REF!="Alta",'Administrativo '!#REF!="Catastrófico"),CONCATENATE("R3C",'Administrativo '!#REF!),"")</f>
        <v>#REF!</v>
      </c>
      <c r="AM18" s="47" t="e">
        <f>IF(AND('Administrativo '!#REF!="Alta",'Administrativo '!#REF!="Catastrófico"),CONCATENATE("R3C",'Administrativo '!#REF!),"")</f>
        <v>#REF!</v>
      </c>
      <c r="AN18" s="73"/>
      <c r="AO18" s="824"/>
      <c r="AP18" s="825"/>
      <c r="AQ18" s="825"/>
      <c r="AR18" s="825"/>
      <c r="AS18" s="825"/>
      <c r="AT18" s="826"/>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row>
    <row r="19" spans="1:76" ht="15" customHeight="1" x14ac:dyDescent="0.25">
      <c r="A19" s="73"/>
      <c r="B19" s="773"/>
      <c r="C19" s="773"/>
      <c r="D19" s="774"/>
      <c r="E19" s="814"/>
      <c r="F19" s="815"/>
      <c r="G19" s="815"/>
      <c r="H19" s="815"/>
      <c r="I19" s="815"/>
      <c r="J19" s="57" t="e">
        <f>IF(AND('Administrativo '!#REF!="Alta",'Administrativo '!#REF!="Leve"),CONCATENATE("R4C",'Administrativo '!#REF!),"")</f>
        <v>#REF!</v>
      </c>
      <c r="K19" s="58" t="e">
        <f>IF(AND('Administrativo '!#REF!="Alta",'Administrativo '!#REF!="Leve"),CONCATENATE("R4C",'Administrativo '!#REF!),"")</f>
        <v>#REF!</v>
      </c>
      <c r="L19" s="58" t="e">
        <f>IF(AND('Administrativo '!#REF!="Alta",'Administrativo '!#REF!="Leve"),CONCATENATE("R4C",'Administrativo '!#REF!),"")</f>
        <v>#REF!</v>
      </c>
      <c r="M19" s="58" t="e">
        <f>IF(AND('Administrativo '!#REF!="Alta",'Administrativo '!#REF!="Leve"),CONCATENATE("R4C",'Administrativo '!#REF!),"")</f>
        <v>#REF!</v>
      </c>
      <c r="N19" s="58" t="e">
        <f>IF(AND('Administrativo '!#REF!="Alta",'Administrativo '!#REF!="Leve"),CONCATENATE("R4C",'Administrativo '!#REF!),"")</f>
        <v>#REF!</v>
      </c>
      <c r="O19" s="59" t="e">
        <f>IF(AND('Administrativo '!#REF!="Alta",'Administrativo '!#REF!="Leve"),CONCATENATE("R4C",'Administrativo '!#REF!),"")</f>
        <v>#REF!</v>
      </c>
      <c r="P19" s="57" t="e">
        <f>IF(AND('Administrativo '!#REF!="Alta",'Administrativo '!#REF!="Menor"),CONCATENATE("R4C",'Administrativo '!#REF!),"")</f>
        <v>#REF!</v>
      </c>
      <c r="Q19" s="58" t="e">
        <f>IF(AND('Administrativo '!#REF!="Alta",'Administrativo '!#REF!="Menor"),CONCATENATE("R4C",'Administrativo '!#REF!),"")</f>
        <v>#REF!</v>
      </c>
      <c r="R19" s="58" t="e">
        <f>IF(AND('Administrativo '!#REF!="Alta",'Administrativo '!#REF!="Menor"),CONCATENATE("R4C",'Administrativo '!#REF!),"")</f>
        <v>#REF!</v>
      </c>
      <c r="S19" s="58" t="e">
        <f>IF(AND('Administrativo '!#REF!="Alta",'Administrativo '!#REF!="Menor"),CONCATENATE("R4C",'Administrativo '!#REF!),"")</f>
        <v>#REF!</v>
      </c>
      <c r="T19" s="58" t="e">
        <f>IF(AND('Administrativo '!#REF!="Alta",'Administrativo '!#REF!="Menor"),CONCATENATE("R4C",'Administrativo '!#REF!),"")</f>
        <v>#REF!</v>
      </c>
      <c r="U19" s="59" t="e">
        <f>IF(AND('Administrativo '!#REF!="Alta",'Administrativo '!#REF!="Menor"),CONCATENATE("R4C",'Administrativo '!#REF!),"")</f>
        <v>#REF!</v>
      </c>
      <c r="V19" s="42" t="e">
        <f>IF(AND('Administrativo '!#REF!="Alta",'Administrativo '!#REF!="Moderado"),CONCATENATE("R4C",'Administrativo '!#REF!),"")</f>
        <v>#REF!</v>
      </c>
      <c r="W19" s="43" t="e">
        <f>IF(AND('Administrativo '!#REF!="Alta",'Administrativo '!#REF!="Moderado"),CONCATENATE("R4C",'Administrativo '!#REF!),"")</f>
        <v>#REF!</v>
      </c>
      <c r="X19" s="43" t="e">
        <f>IF(AND('Administrativo '!#REF!="Alta",'Administrativo '!#REF!="Moderado"),CONCATENATE("R4C",'Administrativo '!#REF!),"")</f>
        <v>#REF!</v>
      </c>
      <c r="Y19" s="43" t="e">
        <f>IF(AND('Administrativo '!#REF!="Alta",'Administrativo '!#REF!="Moderado"),CONCATENATE("R4C",'Administrativo '!#REF!),"")</f>
        <v>#REF!</v>
      </c>
      <c r="Z19" s="43" t="e">
        <f>IF(AND('Administrativo '!#REF!="Alta",'Administrativo '!#REF!="Moderado"),CONCATENATE("R4C",'Administrativo '!#REF!),"")</f>
        <v>#REF!</v>
      </c>
      <c r="AA19" s="44" t="e">
        <f>IF(AND('Administrativo '!#REF!="Alta",'Administrativo '!#REF!="Moderado"),CONCATENATE("R4C",'Administrativo '!#REF!),"")</f>
        <v>#REF!</v>
      </c>
      <c r="AB19" s="42" t="e">
        <f>IF(AND('Administrativo '!#REF!="Alta",'Administrativo '!#REF!="Mayor"),CONCATENATE("R4C",'Administrativo '!#REF!),"")</f>
        <v>#REF!</v>
      </c>
      <c r="AC19" s="43" t="e">
        <f>IF(AND('Administrativo '!#REF!="Alta",'Administrativo '!#REF!="Mayor"),CONCATENATE("R4C",'Administrativo '!#REF!),"")</f>
        <v>#REF!</v>
      </c>
      <c r="AD19" s="43" t="e">
        <f>IF(AND('Administrativo '!#REF!="Alta",'Administrativo '!#REF!="Mayor"),CONCATENATE("R4C",'Administrativo '!#REF!),"")</f>
        <v>#REF!</v>
      </c>
      <c r="AE19" s="43" t="e">
        <f>IF(AND('Administrativo '!#REF!="Alta",'Administrativo '!#REF!="Mayor"),CONCATENATE("R4C",'Administrativo '!#REF!),"")</f>
        <v>#REF!</v>
      </c>
      <c r="AF19" s="43" t="e">
        <f>IF(AND('Administrativo '!#REF!="Alta",'Administrativo '!#REF!="Mayor"),CONCATENATE("R4C",'Administrativo '!#REF!),"")</f>
        <v>#REF!</v>
      </c>
      <c r="AG19" s="44" t="e">
        <f>IF(AND('Administrativo '!#REF!="Alta",'Administrativo '!#REF!="Mayor"),CONCATENATE("R4C",'Administrativo '!#REF!),"")</f>
        <v>#REF!</v>
      </c>
      <c r="AH19" s="45" t="e">
        <f>IF(AND('Administrativo '!#REF!="Alta",'Administrativo '!#REF!="Catastrófico"),CONCATENATE("R4C",'Administrativo '!#REF!),"")</f>
        <v>#REF!</v>
      </c>
      <c r="AI19" s="46" t="e">
        <f>IF(AND('Administrativo '!#REF!="Alta",'Administrativo '!#REF!="Catastrófico"),CONCATENATE("R4C",'Administrativo '!#REF!),"")</f>
        <v>#REF!</v>
      </c>
      <c r="AJ19" s="46" t="e">
        <f>IF(AND('Administrativo '!#REF!="Alta",'Administrativo '!#REF!="Catastrófico"),CONCATENATE("R4C",'Administrativo '!#REF!),"")</f>
        <v>#REF!</v>
      </c>
      <c r="AK19" s="46" t="e">
        <f>IF(AND('Administrativo '!#REF!="Alta",'Administrativo '!#REF!="Catastrófico"),CONCATENATE("R4C",'Administrativo '!#REF!),"")</f>
        <v>#REF!</v>
      </c>
      <c r="AL19" s="46" t="e">
        <f>IF(AND('Administrativo '!#REF!="Alta",'Administrativo '!#REF!="Catastrófico"),CONCATENATE("R4C",'Administrativo '!#REF!),"")</f>
        <v>#REF!</v>
      </c>
      <c r="AM19" s="47" t="e">
        <f>IF(AND('Administrativo '!#REF!="Alta",'Administrativo '!#REF!="Catastrófico"),CONCATENATE("R4C",'Administrativo '!#REF!),"")</f>
        <v>#REF!</v>
      </c>
      <c r="AN19" s="73"/>
      <c r="AO19" s="824"/>
      <c r="AP19" s="825"/>
      <c r="AQ19" s="825"/>
      <c r="AR19" s="825"/>
      <c r="AS19" s="825"/>
      <c r="AT19" s="826"/>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row>
    <row r="20" spans="1:76" ht="15" customHeight="1" x14ac:dyDescent="0.25">
      <c r="A20" s="73"/>
      <c r="B20" s="773"/>
      <c r="C20" s="773"/>
      <c r="D20" s="774"/>
      <c r="E20" s="814"/>
      <c r="F20" s="815"/>
      <c r="G20" s="815"/>
      <c r="H20" s="815"/>
      <c r="I20" s="815"/>
      <c r="J20" s="57" t="e">
        <f>IF(AND('Administrativo '!#REF!="Alta",'Administrativo '!#REF!="Leve"),CONCATENATE("R5C",'Administrativo '!#REF!),"")</f>
        <v>#REF!</v>
      </c>
      <c r="K20" s="58" t="e">
        <f>IF(AND('Administrativo '!#REF!="Alta",'Administrativo '!#REF!="Leve"),CONCATENATE("R5C",'Administrativo '!#REF!),"")</f>
        <v>#REF!</v>
      </c>
      <c r="L20" s="58" t="e">
        <f>IF(AND('Administrativo '!#REF!="Alta",'Administrativo '!#REF!="Leve"),CONCATENATE("R5C",'Administrativo '!#REF!),"")</f>
        <v>#REF!</v>
      </c>
      <c r="M20" s="58" t="e">
        <f>IF(AND('Administrativo '!#REF!="Alta",'Administrativo '!#REF!="Leve"),CONCATENATE("R5C",'Administrativo '!#REF!),"")</f>
        <v>#REF!</v>
      </c>
      <c r="N20" s="58" t="e">
        <f>IF(AND('Administrativo '!#REF!="Alta",'Administrativo '!#REF!="Leve"),CONCATENATE("R5C",'Administrativo '!#REF!),"")</f>
        <v>#REF!</v>
      </c>
      <c r="O20" s="59" t="e">
        <f>IF(AND('Administrativo '!#REF!="Alta",'Administrativo '!#REF!="Leve"),CONCATENATE("R5C",'Administrativo '!#REF!),"")</f>
        <v>#REF!</v>
      </c>
      <c r="P20" s="57" t="e">
        <f>IF(AND('Administrativo '!#REF!="Alta",'Administrativo '!#REF!="Menor"),CONCATENATE("R5C",'Administrativo '!#REF!),"")</f>
        <v>#REF!</v>
      </c>
      <c r="Q20" s="58" t="e">
        <f>IF(AND('Administrativo '!#REF!="Alta",'Administrativo '!#REF!="Menor"),CONCATENATE("R5C",'Administrativo '!#REF!),"")</f>
        <v>#REF!</v>
      </c>
      <c r="R20" s="58" t="e">
        <f>IF(AND('Administrativo '!#REF!="Alta",'Administrativo '!#REF!="Menor"),CONCATENATE("R5C",'Administrativo '!#REF!),"")</f>
        <v>#REF!</v>
      </c>
      <c r="S20" s="58" t="e">
        <f>IF(AND('Administrativo '!#REF!="Alta",'Administrativo '!#REF!="Menor"),CONCATENATE("R5C",'Administrativo '!#REF!),"")</f>
        <v>#REF!</v>
      </c>
      <c r="T20" s="58" t="e">
        <f>IF(AND('Administrativo '!#REF!="Alta",'Administrativo '!#REF!="Menor"),CONCATENATE("R5C",'Administrativo '!#REF!),"")</f>
        <v>#REF!</v>
      </c>
      <c r="U20" s="59" t="e">
        <f>IF(AND('Administrativo '!#REF!="Alta",'Administrativo '!#REF!="Menor"),CONCATENATE("R5C",'Administrativo '!#REF!),"")</f>
        <v>#REF!</v>
      </c>
      <c r="V20" s="42" t="e">
        <f>IF(AND('Administrativo '!#REF!="Alta",'Administrativo '!#REF!="Moderado"),CONCATENATE("R5C",'Administrativo '!#REF!),"")</f>
        <v>#REF!</v>
      </c>
      <c r="W20" s="43" t="e">
        <f>IF(AND('Administrativo '!#REF!="Alta",'Administrativo '!#REF!="Moderado"),CONCATENATE("R5C",'Administrativo '!#REF!),"")</f>
        <v>#REF!</v>
      </c>
      <c r="X20" s="43" t="e">
        <f>IF(AND('Administrativo '!#REF!="Alta",'Administrativo '!#REF!="Moderado"),CONCATENATE("R5C",'Administrativo '!#REF!),"")</f>
        <v>#REF!</v>
      </c>
      <c r="Y20" s="43" t="e">
        <f>IF(AND('Administrativo '!#REF!="Alta",'Administrativo '!#REF!="Moderado"),CONCATENATE("R5C",'Administrativo '!#REF!),"")</f>
        <v>#REF!</v>
      </c>
      <c r="Z20" s="43" t="e">
        <f>IF(AND('Administrativo '!#REF!="Alta",'Administrativo '!#REF!="Moderado"),CONCATENATE("R5C",'Administrativo '!#REF!),"")</f>
        <v>#REF!</v>
      </c>
      <c r="AA20" s="44" t="e">
        <f>IF(AND('Administrativo '!#REF!="Alta",'Administrativo '!#REF!="Moderado"),CONCATENATE("R5C",'Administrativo '!#REF!),"")</f>
        <v>#REF!</v>
      </c>
      <c r="AB20" s="42" t="e">
        <f>IF(AND('Administrativo '!#REF!="Alta",'Administrativo '!#REF!="Mayor"),CONCATENATE("R5C",'Administrativo '!#REF!),"")</f>
        <v>#REF!</v>
      </c>
      <c r="AC20" s="43" t="e">
        <f>IF(AND('Administrativo '!#REF!="Alta",'Administrativo '!#REF!="Mayor"),CONCATENATE("R5C",'Administrativo '!#REF!),"")</f>
        <v>#REF!</v>
      </c>
      <c r="AD20" s="43" t="e">
        <f>IF(AND('Administrativo '!#REF!="Alta",'Administrativo '!#REF!="Mayor"),CONCATENATE("R5C",'Administrativo '!#REF!),"")</f>
        <v>#REF!</v>
      </c>
      <c r="AE20" s="43" t="e">
        <f>IF(AND('Administrativo '!#REF!="Alta",'Administrativo '!#REF!="Mayor"),CONCATENATE("R5C",'Administrativo '!#REF!),"")</f>
        <v>#REF!</v>
      </c>
      <c r="AF20" s="43" t="e">
        <f>IF(AND('Administrativo '!#REF!="Alta",'Administrativo '!#REF!="Mayor"),CONCATENATE("R5C",'Administrativo '!#REF!),"")</f>
        <v>#REF!</v>
      </c>
      <c r="AG20" s="44" t="e">
        <f>IF(AND('Administrativo '!#REF!="Alta",'Administrativo '!#REF!="Mayor"),CONCATENATE("R5C",'Administrativo '!#REF!),"")</f>
        <v>#REF!</v>
      </c>
      <c r="AH20" s="45" t="e">
        <f>IF(AND('Administrativo '!#REF!="Alta",'Administrativo '!#REF!="Catastrófico"),CONCATENATE("R5C",'Administrativo '!#REF!),"")</f>
        <v>#REF!</v>
      </c>
      <c r="AI20" s="46" t="e">
        <f>IF(AND('Administrativo '!#REF!="Alta",'Administrativo '!#REF!="Catastrófico"),CONCATENATE("R5C",'Administrativo '!#REF!),"")</f>
        <v>#REF!</v>
      </c>
      <c r="AJ20" s="46" t="e">
        <f>IF(AND('Administrativo '!#REF!="Alta",'Administrativo '!#REF!="Catastrófico"),CONCATENATE("R5C",'Administrativo '!#REF!),"")</f>
        <v>#REF!</v>
      </c>
      <c r="AK20" s="46" t="e">
        <f>IF(AND('Administrativo '!#REF!="Alta",'Administrativo '!#REF!="Catastrófico"),CONCATENATE("R5C",'Administrativo '!#REF!),"")</f>
        <v>#REF!</v>
      </c>
      <c r="AL20" s="46" t="e">
        <f>IF(AND('Administrativo '!#REF!="Alta",'Administrativo '!#REF!="Catastrófico"),CONCATENATE("R5C",'Administrativo '!#REF!),"")</f>
        <v>#REF!</v>
      </c>
      <c r="AM20" s="47" t="e">
        <f>IF(AND('Administrativo '!#REF!="Alta",'Administrativo '!#REF!="Catastrófico"),CONCATENATE("R5C",'Administrativo '!#REF!),"")</f>
        <v>#REF!</v>
      </c>
      <c r="AN20" s="73"/>
      <c r="AO20" s="824"/>
      <c r="AP20" s="825"/>
      <c r="AQ20" s="825"/>
      <c r="AR20" s="825"/>
      <c r="AS20" s="825"/>
      <c r="AT20" s="826"/>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row>
    <row r="21" spans="1:76" ht="15" customHeight="1" x14ac:dyDescent="0.25">
      <c r="A21" s="73"/>
      <c r="B21" s="773"/>
      <c r="C21" s="773"/>
      <c r="D21" s="774"/>
      <c r="E21" s="814"/>
      <c r="F21" s="815"/>
      <c r="G21" s="815"/>
      <c r="H21" s="815"/>
      <c r="I21" s="815"/>
      <c r="J21" s="57" t="e">
        <f>IF(AND('Administrativo '!#REF!="Alta",'Administrativo '!#REF!="Leve"),CONCATENATE("R6C",'Administrativo '!#REF!),"")</f>
        <v>#REF!</v>
      </c>
      <c r="K21" s="58" t="e">
        <f>IF(AND('Administrativo '!#REF!="Alta",'Administrativo '!#REF!="Leve"),CONCATENATE("R6C",'Administrativo '!#REF!),"")</f>
        <v>#REF!</v>
      </c>
      <c r="L21" s="58" t="e">
        <f>IF(AND('Administrativo '!#REF!="Alta",'Administrativo '!#REF!="Leve"),CONCATENATE("R6C",'Administrativo '!#REF!),"")</f>
        <v>#REF!</v>
      </c>
      <c r="M21" s="58" t="e">
        <f>IF(AND('Administrativo '!#REF!="Alta",'Administrativo '!#REF!="Leve"),CONCATENATE("R6C",'Administrativo '!#REF!),"")</f>
        <v>#REF!</v>
      </c>
      <c r="N21" s="58" t="e">
        <f>IF(AND('Administrativo '!#REF!="Alta",'Administrativo '!#REF!="Leve"),CONCATENATE("R6C",'Administrativo '!#REF!),"")</f>
        <v>#REF!</v>
      </c>
      <c r="O21" s="59" t="e">
        <f>IF(AND('Administrativo '!#REF!="Alta",'Administrativo '!#REF!="Leve"),CONCATENATE("R6C",'Administrativo '!#REF!),"")</f>
        <v>#REF!</v>
      </c>
      <c r="P21" s="57" t="e">
        <f>IF(AND('Administrativo '!#REF!="Alta",'Administrativo '!#REF!="Menor"),CONCATENATE("R6C",'Administrativo '!#REF!),"")</f>
        <v>#REF!</v>
      </c>
      <c r="Q21" s="58" t="e">
        <f>IF(AND('Administrativo '!#REF!="Alta",'Administrativo '!#REF!="Menor"),CONCATENATE("R6C",'Administrativo '!#REF!),"")</f>
        <v>#REF!</v>
      </c>
      <c r="R21" s="58" t="e">
        <f>IF(AND('Administrativo '!#REF!="Alta",'Administrativo '!#REF!="Menor"),CONCATENATE("R6C",'Administrativo '!#REF!),"")</f>
        <v>#REF!</v>
      </c>
      <c r="S21" s="58" t="e">
        <f>IF(AND('Administrativo '!#REF!="Alta",'Administrativo '!#REF!="Menor"),CONCATENATE("R6C",'Administrativo '!#REF!),"")</f>
        <v>#REF!</v>
      </c>
      <c r="T21" s="58" t="e">
        <f>IF(AND('Administrativo '!#REF!="Alta",'Administrativo '!#REF!="Menor"),CONCATENATE("R6C",'Administrativo '!#REF!),"")</f>
        <v>#REF!</v>
      </c>
      <c r="U21" s="59" t="e">
        <f>IF(AND('Administrativo '!#REF!="Alta",'Administrativo '!#REF!="Menor"),CONCATENATE("R6C",'Administrativo '!#REF!),"")</f>
        <v>#REF!</v>
      </c>
      <c r="V21" s="42" t="e">
        <f>IF(AND('Administrativo '!#REF!="Alta",'Administrativo '!#REF!="Moderado"),CONCATENATE("R6C",'Administrativo '!#REF!),"")</f>
        <v>#REF!</v>
      </c>
      <c r="W21" s="43" t="e">
        <f>IF(AND('Administrativo '!#REF!="Alta",'Administrativo '!#REF!="Moderado"),CONCATENATE("R6C",'Administrativo '!#REF!),"")</f>
        <v>#REF!</v>
      </c>
      <c r="X21" s="43" t="e">
        <f>IF(AND('Administrativo '!#REF!="Alta",'Administrativo '!#REF!="Moderado"),CONCATENATE("R6C",'Administrativo '!#REF!),"")</f>
        <v>#REF!</v>
      </c>
      <c r="Y21" s="43" t="e">
        <f>IF(AND('Administrativo '!#REF!="Alta",'Administrativo '!#REF!="Moderado"),CONCATENATE("R6C",'Administrativo '!#REF!),"")</f>
        <v>#REF!</v>
      </c>
      <c r="Z21" s="43" t="e">
        <f>IF(AND('Administrativo '!#REF!="Alta",'Administrativo '!#REF!="Moderado"),CONCATENATE("R6C",'Administrativo '!#REF!),"")</f>
        <v>#REF!</v>
      </c>
      <c r="AA21" s="44" t="e">
        <f>IF(AND('Administrativo '!#REF!="Alta",'Administrativo '!#REF!="Moderado"),CONCATENATE("R6C",'Administrativo '!#REF!),"")</f>
        <v>#REF!</v>
      </c>
      <c r="AB21" s="42" t="e">
        <f>IF(AND('Administrativo '!#REF!="Alta",'Administrativo '!#REF!="Mayor"),CONCATENATE("R6C",'Administrativo '!#REF!),"")</f>
        <v>#REF!</v>
      </c>
      <c r="AC21" s="43" t="e">
        <f>IF(AND('Administrativo '!#REF!="Alta",'Administrativo '!#REF!="Mayor"),CONCATENATE("R6C",'Administrativo '!#REF!),"")</f>
        <v>#REF!</v>
      </c>
      <c r="AD21" s="43" t="e">
        <f>IF(AND('Administrativo '!#REF!="Alta",'Administrativo '!#REF!="Mayor"),CONCATENATE("R6C",'Administrativo '!#REF!),"")</f>
        <v>#REF!</v>
      </c>
      <c r="AE21" s="43" t="e">
        <f>IF(AND('Administrativo '!#REF!="Alta",'Administrativo '!#REF!="Mayor"),CONCATENATE("R6C",'Administrativo '!#REF!),"")</f>
        <v>#REF!</v>
      </c>
      <c r="AF21" s="43" t="e">
        <f>IF(AND('Administrativo '!#REF!="Alta",'Administrativo '!#REF!="Mayor"),CONCATENATE("R6C",'Administrativo '!#REF!),"")</f>
        <v>#REF!</v>
      </c>
      <c r="AG21" s="44" t="e">
        <f>IF(AND('Administrativo '!#REF!="Alta",'Administrativo '!#REF!="Mayor"),CONCATENATE("R6C",'Administrativo '!#REF!),"")</f>
        <v>#REF!</v>
      </c>
      <c r="AH21" s="45" t="e">
        <f>IF(AND('Administrativo '!#REF!="Alta",'Administrativo '!#REF!="Catastrófico"),CONCATENATE("R6C",'Administrativo '!#REF!),"")</f>
        <v>#REF!</v>
      </c>
      <c r="AI21" s="46" t="e">
        <f>IF(AND('Administrativo '!#REF!="Alta",'Administrativo '!#REF!="Catastrófico"),CONCATENATE("R6C",'Administrativo '!#REF!),"")</f>
        <v>#REF!</v>
      </c>
      <c r="AJ21" s="46" t="e">
        <f>IF(AND('Administrativo '!#REF!="Alta",'Administrativo '!#REF!="Catastrófico"),CONCATENATE("R6C",'Administrativo '!#REF!),"")</f>
        <v>#REF!</v>
      </c>
      <c r="AK21" s="46" t="e">
        <f>IF(AND('Administrativo '!#REF!="Alta",'Administrativo '!#REF!="Catastrófico"),CONCATENATE("R6C",'Administrativo '!#REF!),"")</f>
        <v>#REF!</v>
      </c>
      <c r="AL21" s="46" t="e">
        <f>IF(AND('Administrativo '!#REF!="Alta",'Administrativo '!#REF!="Catastrófico"),CONCATENATE("R6C",'Administrativo '!#REF!),"")</f>
        <v>#REF!</v>
      </c>
      <c r="AM21" s="47" t="e">
        <f>IF(AND('Administrativo '!#REF!="Alta",'Administrativo '!#REF!="Catastrófico"),CONCATENATE("R6C",'Administrativo '!#REF!),"")</f>
        <v>#REF!</v>
      </c>
      <c r="AN21" s="73"/>
      <c r="AO21" s="824"/>
      <c r="AP21" s="825"/>
      <c r="AQ21" s="825"/>
      <c r="AR21" s="825"/>
      <c r="AS21" s="825"/>
      <c r="AT21" s="826"/>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row>
    <row r="22" spans="1:76" ht="15" customHeight="1" x14ac:dyDescent="0.25">
      <c r="A22" s="73"/>
      <c r="B22" s="773"/>
      <c r="C22" s="773"/>
      <c r="D22" s="774"/>
      <c r="E22" s="814"/>
      <c r="F22" s="815"/>
      <c r="G22" s="815"/>
      <c r="H22" s="815"/>
      <c r="I22" s="815"/>
      <c r="J22" s="57" t="e">
        <f>IF(AND('Administrativo '!#REF!="Alta",'Administrativo '!#REF!="Leve"),CONCATENATE("R7C",'Administrativo '!#REF!),"")</f>
        <v>#REF!</v>
      </c>
      <c r="K22" s="58" t="e">
        <f>IF(AND('Administrativo '!#REF!="Alta",'Administrativo '!#REF!="Leve"),CONCATENATE("R7C",'Administrativo '!#REF!),"")</f>
        <v>#REF!</v>
      </c>
      <c r="L22" s="58" t="e">
        <f>IF(AND('Administrativo '!#REF!="Alta",'Administrativo '!#REF!="Leve"),CONCATENATE("R7C",'Administrativo '!#REF!),"")</f>
        <v>#REF!</v>
      </c>
      <c r="M22" s="58" t="e">
        <f>IF(AND('Administrativo '!#REF!="Alta",'Administrativo '!#REF!="Leve"),CONCATENATE("R7C",'Administrativo '!#REF!),"")</f>
        <v>#REF!</v>
      </c>
      <c r="N22" s="58" t="e">
        <f>IF(AND('Administrativo '!#REF!="Alta",'Administrativo '!#REF!="Leve"),CONCATENATE("R7C",'Administrativo '!#REF!),"")</f>
        <v>#REF!</v>
      </c>
      <c r="O22" s="59" t="e">
        <f>IF(AND('Administrativo '!#REF!="Alta",'Administrativo '!#REF!="Leve"),CONCATENATE("R7C",'Administrativo '!#REF!),"")</f>
        <v>#REF!</v>
      </c>
      <c r="P22" s="57" t="e">
        <f>IF(AND('Administrativo '!#REF!="Alta",'Administrativo '!#REF!="Menor"),CONCATENATE("R7C",'Administrativo '!#REF!),"")</f>
        <v>#REF!</v>
      </c>
      <c r="Q22" s="58" t="e">
        <f>IF(AND('Administrativo '!#REF!="Alta",'Administrativo '!#REF!="Menor"),CONCATENATE("R7C",'Administrativo '!#REF!),"")</f>
        <v>#REF!</v>
      </c>
      <c r="R22" s="58" t="e">
        <f>IF(AND('Administrativo '!#REF!="Alta",'Administrativo '!#REF!="Menor"),CONCATENATE("R7C",'Administrativo '!#REF!),"")</f>
        <v>#REF!</v>
      </c>
      <c r="S22" s="58" t="e">
        <f>IF(AND('Administrativo '!#REF!="Alta",'Administrativo '!#REF!="Menor"),CONCATENATE("R7C",'Administrativo '!#REF!),"")</f>
        <v>#REF!</v>
      </c>
      <c r="T22" s="58" t="e">
        <f>IF(AND('Administrativo '!#REF!="Alta",'Administrativo '!#REF!="Menor"),CONCATENATE("R7C",'Administrativo '!#REF!),"")</f>
        <v>#REF!</v>
      </c>
      <c r="U22" s="59" t="e">
        <f>IF(AND('Administrativo '!#REF!="Alta",'Administrativo '!#REF!="Menor"),CONCATENATE("R7C",'Administrativo '!#REF!),"")</f>
        <v>#REF!</v>
      </c>
      <c r="V22" s="42" t="e">
        <f>IF(AND('Administrativo '!#REF!="Alta",'Administrativo '!#REF!="Moderado"),CONCATENATE("R7C",'Administrativo '!#REF!),"")</f>
        <v>#REF!</v>
      </c>
      <c r="W22" s="43" t="e">
        <f>IF(AND('Administrativo '!#REF!="Alta",'Administrativo '!#REF!="Moderado"),CONCATENATE("R7C",'Administrativo '!#REF!),"")</f>
        <v>#REF!</v>
      </c>
      <c r="X22" s="43" t="e">
        <f>IF(AND('Administrativo '!#REF!="Alta",'Administrativo '!#REF!="Moderado"),CONCATENATE("R7C",'Administrativo '!#REF!),"")</f>
        <v>#REF!</v>
      </c>
      <c r="Y22" s="43" t="e">
        <f>IF(AND('Administrativo '!#REF!="Alta",'Administrativo '!#REF!="Moderado"),CONCATENATE("R7C",'Administrativo '!#REF!),"")</f>
        <v>#REF!</v>
      </c>
      <c r="Z22" s="43" t="e">
        <f>IF(AND('Administrativo '!#REF!="Alta",'Administrativo '!#REF!="Moderado"),CONCATENATE("R7C",'Administrativo '!#REF!),"")</f>
        <v>#REF!</v>
      </c>
      <c r="AA22" s="44" t="e">
        <f>IF(AND('Administrativo '!#REF!="Alta",'Administrativo '!#REF!="Moderado"),CONCATENATE("R7C",'Administrativo '!#REF!),"")</f>
        <v>#REF!</v>
      </c>
      <c r="AB22" s="42" t="e">
        <f>IF(AND('Administrativo '!#REF!="Alta",'Administrativo '!#REF!="Mayor"),CONCATENATE("R7C",'Administrativo '!#REF!),"")</f>
        <v>#REF!</v>
      </c>
      <c r="AC22" s="43" t="e">
        <f>IF(AND('Administrativo '!#REF!="Alta",'Administrativo '!#REF!="Mayor"),CONCATENATE("R7C",'Administrativo '!#REF!),"")</f>
        <v>#REF!</v>
      </c>
      <c r="AD22" s="43" t="e">
        <f>IF(AND('Administrativo '!#REF!="Alta",'Administrativo '!#REF!="Mayor"),CONCATENATE("R7C",'Administrativo '!#REF!),"")</f>
        <v>#REF!</v>
      </c>
      <c r="AE22" s="43" t="e">
        <f>IF(AND('Administrativo '!#REF!="Alta",'Administrativo '!#REF!="Mayor"),CONCATENATE("R7C",'Administrativo '!#REF!),"")</f>
        <v>#REF!</v>
      </c>
      <c r="AF22" s="43" t="e">
        <f>IF(AND('Administrativo '!#REF!="Alta",'Administrativo '!#REF!="Mayor"),CONCATENATE("R7C",'Administrativo '!#REF!),"")</f>
        <v>#REF!</v>
      </c>
      <c r="AG22" s="44" t="e">
        <f>IF(AND('Administrativo '!#REF!="Alta",'Administrativo '!#REF!="Mayor"),CONCATENATE("R7C",'Administrativo '!#REF!),"")</f>
        <v>#REF!</v>
      </c>
      <c r="AH22" s="45" t="e">
        <f>IF(AND('Administrativo '!#REF!="Alta",'Administrativo '!#REF!="Catastrófico"),CONCATENATE("R7C",'Administrativo '!#REF!),"")</f>
        <v>#REF!</v>
      </c>
      <c r="AI22" s="46" t="e">
        <f>IF(AND('Administrativo '!#REF!="Alta",'Administrativo '!#REF!="Catastrófico"),CONCATENATE("R7C",'Administrativo '!#REF!),"")</f>
        <v>#REF!</v>
      </c>
      <c r="AJ22" s="46" t="e">
        <f>IF(AND('Administrativo '!#REF!="Alta",'Administrativo '!#REF!="Catastrófico"),CONCATENATE("R7C",'Administrativo '!#REF!),"")</f>
        <v>#REF!</v>
      </c>
      <c r="AK22" s="46" t="e">
        <f>IF(AND('Administrativo '!#REF!="Alta",'Administrativo '!#REF!="Catastrófico"),CONCATENATE("R7C",'Administrativo '!#REF!),"")</f>
        <v>#REF!</v>
      </c>
      <c r="AL22" s="46" t="e">
        <f>IF(AND('Administrativo '!#REF!="Alta",'Administrativo '!#REF!="Catastrófico"),CONCATENATE("R7C",'Administrativo '!#REF!),"")</f>
        <v>#REF!</v>
      </c>
      <c r="AM22" s="47" t="e">
        <f>IF(AND('Administrativo '!#REF!="Alta",'Administrativo '!#REF!="Catastrófico"),CONCATENATE("R7C",'Administrativo '!#REF!),"")</f>
        <v>#REF!</v>
      </c>
      <c r="AN22" s="73"/>
      <c r="AO22" s="824"/>
      <c r="AP22" s="825"/>
      <c r="AQ22" s="825"/>
      <c r="AR22" s="825"/>
      <c r="AS22" s="825"/>
      <c r="AT22" s="826"/>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row>
    <row r="23" spans="1:76" ht="15" customHeight="1" x14ac:dyDescent="0.25">
      <c r="A23" s="73"/>
      <c r="B23" s="773"/>
      <c r="C23" s="773"/>
      <c r="D23" s="774"/>
      <c r="E23" s="814"/>
      <c r="F23" s="815"/>
      <c r="G23" s="815"/>
      <c r="H23" s="815"/>
      <c r="I23" s="815"/>
      <c r="J23" s="57" t="e">
        <f>IF(AND('Administrativo '!#REF!="Alta",'Administrativo '!#REF!="Leve"),CONCATENATE("R8C",'Administrativo '!#REF!),"")</f>
        <v>#REF!</v>
      </c>
      <c r="K23" s="58" t="e">
        <f>IF(AND('Administrativo '!#REF!="Alta",'Administrativo '!#REF!="Leve"),CONCATENATE("R8C",'Administrativo '!#REF!),"")</f>
        <v>#REF!</v>
      </c>
      <c r="L23" s="58" t="e">
        <f>IF(AND('Administrativo '!#REF!="Alta",'Administrativo '!#REF!="Leve"),CONCATENATE("R8C",'Administrativo '!#REF!),"")</f>
        <v>#REF!</v>
      </c>
      <c r="M23" s="58" t="e">
        <f>IF(AND('Administrativo '!#REF!="Alta",'Administrativo '!#REF!="Leve"),CONCATENATE("R8C",'Administrativo '!#REF!),"")</f>
        <v>#REF!</v>
      </c>
      <c r="N23" s="58" t="e">
        <f>IF(AND('Administrativo '!#REF!="Alta",'Administrativo '!#REF!="Leve"),CONCATENATE("R8C",'Administrativo '!#REF!),"")</f>
        <v>#REF!</v>
      </c>
      <c r="O23" s="59" t="e">
        <f>IF(AND('Administrativo '!#REF!="Alta",'Administrativo '!#REF!="Leve"),CONCATENATE("R8C",'Administrativo '!#REF!),"")</f>
        <v>#REF!</v>
      </c>
      <c r="P23" s="57" t="e">
        <f>IF(AND('Administrativo '!#REF!="Alta",'Administrativo '!#REF!="Menor"),CONCATENATE("R8C",'Administrativo '!#REF!),"")</f>
        <v>#REF!</v>
      </c>
      <c r="Q23" s="58" t="e">
        <f>IF(AND('Administrativo '!#REF!="Alta",'Administrativo '!#REF!="Menor"),CONCATENATE("R8C",'Administrativo '!#REF!),"")</f>
        <v>#REF!</v>
      </c>
      <c r="R23" s="58" t="e">
        <f>IF(AND('Administrativo '!#REF!="Alta",'Administrativo '!#REF!="Menor"),CONCATENATE("R8C",'Administrativo '!#REF!),"")</f>
        <v>#REF!</v>
      </c>
      <c r="S23" s="58" t="e">
        <f>IF(AND('Administrativo '!#REF!="Alta",'Administrativo '!#REF!="Menor"),CONCATENATE("R8C",'Administrativo '!#REF!),"")</f>
        <v>#REF!</v>
      </c>
      <c r="T23" s="58" t="e">
        <f>IF(AND('Administrativo '!#REF!="Alta",'Administrativo '!#REF!="Menor"),CONCATENATE("R8C",'Administrativo '!#REF!),"")</f>
        <v>#REF!</v>
      </c>
      <c r="U23" s="59" t="e">
        <f>IF(AND('Administrativo '!#REF!="Alta",'Administrativo '!#REF!="Menor"),CONCATENATE("R8C",'Administrativo '!#REF!),"")</f>
        <v>#REF!</v>
      </c>
      <c r="V23" s="42" t="e">
        <f>IF(AND('Administrativo '!#REF!="Alta",'Administrativo '!#REF!="Moderado"),CONCATENATE("R8C",'Administrativo '!#REF!),"")</f>
        <v>#REF!</v>
      </c>
      <c r="W23" s="43" t="e">
        <f>IF(AND('Administrativo '!#REF!="Alta",'Administrativo '!#REF!="Moderado"),CONCATENATE("R8C",'Administrativo '!#REF!),"")</f>
        <v>#REF!</v>
      </c>
      <c r="X23" s="43" t="e">
        <f>IF(AND('Administrativo '!#REF!="Alta",'Administrativo '!#REF!="Moderado"),CONCATENATE("R8C",'Administrativo '!#REF!),"")</f>
        <v>#REF!</v>
      </c>
      <c r="Y23" s="43" t="e">
        <f>IF(AND('Administrativo '!#REF!="Alta",'Administrativo '!#REF!="Moderado"),CONCATENATE("R8C",'Administrativo '!#REF!),"")</f>
        <v>#REF!</v>
      </c>
      <c r="Z23" s="43" t="e">
        <f>IF(AND('Administrativo '!#REF!="Alta",'Administrativo '!#REF!="Moderado"),CONCATENATE("R8C",'Administrativo '!#REF!),"")</f>
        <v>#REF!</v>
      </c>
      <c r="AA23" s="44" t="e">
        <f>IF(AND('Administrativo '!#REF!="Alta",'Administrativo '!#REF!="Moderado"),CONCATENATE("R8C",'Administrativo '!#REF!),"")</f>
        <v>#REF!</v>
      </c>
      <c r="AB23" s="42" t="e">
        <f>IF(AND('Administrativo '!#REF!="Alta",'Administrativo '!#REF!="Mayor"),CONCATENATE("R8C",'Administrativo '!#REF!),"")</f>
        <v>#REF!</v>
      </c>
      <c r="AC23" s="43" t="e">
        <f>IF(AND('Administrativo '!#REF!="Alta",'Administrativo '!#REF!="Mayor"),CONCATENATE("R8C",'Administrativo '!#REF!),"")</f>
        <v>#REF!</v>
      </c>
      <c r="AD23" s="43" t="e">
        <f>IF(AND('Administrativo '!#REF!="Alta",'Administrativo '!#REF!="Mayor"),CONCATENATE("R8C",'Administrativo '!#REF!),"")</f>
        <v>#REF!</v>
      </c>
      <c r="AE23" s="43" t="e">
        <f>IF(AND('Administrativo '!#REF!="Alta",'Administrativo '!#REF!="Mayor"),CONCATENATE("R8C",'Administrativo '!#REF!),"")</f>
        <v>#REF!</v>
      </c>
      <c r="AF23" s="43" t="e">
        <f>IF(AND('Administrativo '!#REF!="Alta",'Administrativo '!#REF!="Mayor"),CONCATENATE("R8C",'Administrativo '!#REF!),"")</f>
        <v>#REF!</v>
      </c>
      <c r="AG23" s="44" t="e">
        <f>IF(AND('Administrativo '!#REF!="Alta",'Administrativo '!#REF!="Mayor"),CONCATENATE("R8C",'Administrativo '!#REF!),"")</f>
        <v>#REF!</v>
      </c>
      <c r="AH23" s="45" t="e">
        <f>IF(AND('Administrativo '!#REF!="Alta",'Administrativo '!#REF!="Catastrófico"),CONCATENATE("R8C",'Administrativo '!#REF!),"")</f>
        <v>#REF!</v>
      </c>
      <c r="AI23" s="46" t="e">
        <f>IF(AND('Administrativo '!#REF!="Alta",'Administrativo '!#REF!="Catastrófico"),CONCATENATE("R8C",'Administrativo '!#REF!),"")</f>
        <v>#REF!</v>
      </c>
      <c r="AJ23" s="46" t="e">
        <f>IF(AND('Administrativo '!#REF!="Alta",'Administrativo '!#REF!="Catastrófico"),CONCATENATE("R8C",'Administrativo '!#REF!),"")</f>
        <v>#REF!</v>
      </c>
      <c r="AK23" s="46" t="e">
        <f>IF(AND('Administrativo '!#REF!="Alta",'Administrativo '!#REF!="Catastrófico"),CONCATENATE("R8C",'Administrativo '!#REF!),"")</f>
        <v>#REF!</v>
      </c>
      <c r="AL23" s="46" t="e">
        <f>IF(AND('Administrativo '!#REF!="Alta",'Administrativo '!#REF!="Catastrófico"),CONCATENATE("R8C",'Administrativo '!#REF!),"")</f>
        <v>#REF!</v>
      </c>
      <c r="AM23" s="47" t="e">
        <f>IF(AND('Administrativo '!#REF!="Alta",'Administrativo '!#REF!="Catastrófico"),CONCATENATE("R8C",'Administrativo '!#REF!),"")</f>
        <v>#REF!</v>
      </c>
      <c r="AN23" s="73"/>
      <c r="AO23" s="824"/>
      <c r="AP23" s="825"/>
      <c r="AQ23" s="825"/>
      <c r="AR23" s="825"/>
      <c r="AS23" s="825"/>
      <c r="AT23" s="826"/>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row>
    <row r="24" spans="1:76" ht="15" customHeight="1" x14ac:dyDescent="0.25">
      <c r="A24" s="73"/>
      <c r="B24" s="773"/>
      <c r="C24" s="773"/>
      <c r="D24" s="774"/>
      <c r="E24" s="814"/>
      <c r="F24" s="815"/>
      <c r="G24" s="815"/>
      <c r="H24" s="815"/>
      <c r="I24" s="815"/>
      <c r="J24" s="57" t="e">
        <f>IF(AND('Administrativo '!#REF!="Alta",'Administrativo '!#REF!="Leve"),CONCATENATE("R9C",'Administrativo '!#REF!),"")</f>
        <v>#REF!</v>
      </c>
      <c r="K24" s="58" t="e">
        <f>IF(AND('Administrativo '!#REF!="Alta",'Administrativo '!#REF!="Leve"),CONCATENATE("R9C",'Administrativo '!#REF!),"")</f>
        <v>#REF!</v>
      </c>
      <c r="L24" s="58" t="e">
        <f>IF(AND('Administrativo '!#REF!="Alta",'Administrativo '!#REF!="Leve"),CONCATENATE("R9C",'Administrativo '!#REF!),"")</f>
        <v>#REF!</v>
      </c>
      <c r="M24" s="58" t="e">
        <f>IF(AND('Administrativo '!#REF!="Alta",'Administrativo '!#REF!="Leve"),CONCATENATE("R9C",'Administrativo '!#REF!),"")</f>
        <v>#REF!</v>
      </c>
      <c r="N24" s="58" t="e">
        <f>IF(AND('Administrativo '!#REF!="Alta",'Administrativo '!#REF!="Leve"),CONCATENATE("R9C",'Administrativo '!#REF!),"")</f>
        <v>#REF!</v>
      </c>
      <c r="O24" s="59" t="e">
        <f>IF(AND('Administrativo '!#REF!="Alta",'Administrativo '!#REF!="Leve"),CONCATENATE("R9C",'Administrativo '!#REF!),"")</f>
        <v>#REF!</v>
      </c>
      <c r="P24" s="57" t="e">
        <f>IF(AND('Administrativo '!#REF!="Alta",'Administrativo '!#REF!="Menor"),CONCATENATE("R9C",'Administrativo '!#REF!),"")</f>
        <v>#REF!</v>
      </c>
      <c r="Q24" s="58" t="e">
        <f>IF(AND('Administrativo '!#REF!="Alta",'Administrativo '!#REF!="Menor"),CONCATENATE("R9C",'Administrativo '!#REF!),"")</f>
        <v>#REF!</v>
      </c>
      <c r="R24" s="58" t="e">
        <f>IF(AND('Administrativo '!#REF!="Alta",'Administrativo '!#REF!="Menor"),CONCATENATE("R9C",'Administrativo '!#REF!),"")</f>
        <v>#REF!</v>
      </c>
      <c r="S24" s="58" t="e">
        <f>IF(AND('Administrativo '!#REF!="Alta",'Administrativo '!#REF!="Menor"),CONCATENATE("R9C",'Administrativo '!#REF!),"")</f>
        <v>#REF!</v>
      </c>
      <c r="T24" s="58" t="e">
        <f>IF(AND('Administrativo '!#REF!="Alta",'Administrativo '!#REF!="Menor"),CONCATENATE("R9C",'Administrativo '!#REF!),"")</f>
        <v>#REF!</v>
      </c>
      <c r="U24" s="59" t="e">
        <f>IF(AND('Administrativo '!#REF!="Alta",'Administrativo '!#REF!="Menor"),CONCATENATE("R9C",'Administrativo '!#REF!),"")</f>
        <v>#REF!</v>
      </c>
      <c r="V24" s="42" t="e">
        <f>IF(AND('Administrativo '!#REF!="Alta",'Administrativo '!#REF!="Moderado"),CONCATENATE("R9C",'Administrativo '!#REF!),"")</f>
        <v>#REF!</v>
      </c>
      <c r="W24" s="43" t="e">
        <f>IF(AND('Administrativo '!#REF!="Alta",'Administrativo '!#REF!="Moderado"),CONCATENATE("R9C",'Administrativo '!#REF!),"")</f>
        <v>#REF!</v>
      </c>
      <c r="X24" s="43" t="e">
        <f>IF(AND('Administrativo '!#REF!="Alta",'Administrativo '!#REF!="Moderado"),CONCATENATE("R9C",'Administrativo '!#REF!),"")</f>
        <v>#REF!</v>
      </c>
      <c r="Y24" s="43" t="e">
        <f>IF(AND('Administrativo '!#REF!="Alta",'Administrativo '!#REF!="Moderado"),CONCATENATE("R9C",'Administrativo '!#REF!),"")</f>
        <v>#REF!</v>
      </c>
      <c r="Z24" s="43" t="e">
        <f>IF(AND('Administrativo '!#REF!="Alta",'Administrativo '!#REF!="Moderado"),CONCATENATE("R9C",'Administrativo '!#REF!),"")</f>
        <v>#REF!</v>
      </c>
      <c r="AA24" s="44" t="e">
        <f>IF(AND('Administrativo '!#REF!="Alta",'Administrativo '!#REF!="Moderado"),CONCATENATE("R9C",'Administrativo '!#REF!),"")</f>
        <v>#REF!</v>
      </c>
      <c r="AB24" s="42" t="e">
        <f>IF(AND('Administrativo '!#REF!="Alta",'Administrativo '!#REF!="Mayor"),CONCATENATE("R9C",'Administrativo '!#REF!),"")</f>
        <v>#REF!</v>
      </c>
      <c r="AC24" s="43" t="e">
        <f>IF(AND('Administrativo '!#REF!="Alta",'Administrativo '!#REF!="Mayor"),CONCATENATE("R9C",'Administrativo '!#REF!),"")</f>
        <v>#REF!</v>
      </c>
      <c r="AD24" s="43" t="e">
        <f>IF(AND('Administrativo '!#REF!="Alta",'Administrativo '!#REF!="Mayor"),CONCATENATE("R9C",'Administrativo '!#REF!),"")</f>
        <v>#REF!</v>
      </c>
      <c r="AE24" s="43" t="e">
        <f>IF(AND('Administrativo '!#REF!="Alta",'Administrativo '!#REF!="Mayor"),CONCATENATE("R9C",'Administrativo '!#REF!),"")</f>
        <v>#REF!</v>
      </c>
      <c r="AF24" s="43" t="e">
        <f>IF(AND('Administrativo '!#REF!="Alta",'Administrativo '!#REF!="Mayor"),CONCATENATE("R9C",'Administrativo '!#REF!),"")</f>
        <v>#REF!</v>
      </c>
      <c r="AG24" s="44" t="e">
        <f>IF(AND('Administrativo '!#REF!="Alta",'Administrativo '!#REF!="Mayor"),CONCATENATE("R9C",'Administrativo '!#REF!),"")</f>
        <v>#REF!</v>
      </c>
      <c r="AH24" s="45" t="e">
        <f>IF(AND('Administrativo '!#REF!="Alta",'Administrativo '!#REF!="Catastrófico"),CONCATENATE("R9C",'Administrativo '!#REF!),"")</f>
        <v>#REF!</v>
      </c>
      <c r="AI24" s="46" t="e">
        <f>IF(AND('Administrativo '!#REF!="Alta",'Administrativo '!#REF!="Catastrófico"),CONCATENATE("R9C",'Administrativo '!#REF!),"")</f>
        <v>#REF!</v>
      </c>
      <c r="AJ24" s="46" t="e">
        <f>IF(AND('Administrativo '!#REF!="Alta",'Administrativo '!#REF!="Catastrófico"),CONCATENATE("R9C",'Administrativo '!#REF!),"")</f>
        <v>#REF!</v>
      </c>
      <c r="AK24" s="46" t="e">
        <f>IF(AND('Administrativo '!#REF!="Alta",'Administrativo '!#REF!="Catastrófico"),CONCATENATE("R9C",'Administrativo '!#REF!),"")</f>
        <v>#REF!</v>
      </c>
      <c r="AL24" s="46" t="e">
        <f>IF(AND('Administrativo '!#REF!="Alta",'Administrativo '!#REF!="Catastrófico"),CONCATENATE("R9C",'Administrativo '!#REF!),"")</f>
        <v>#REF!</v>
      </c>
      <c r="AM24" s="47" t="e">
        <f>IF(AND('Administrativo '!#REF!="Alta",'Administrativo '!#REF!="Catastrófico"),CONCATENATE("R9C",'Administrativo '!#REF!),"")</f>
        <v>#REF!</v>
      </c>
      <c r="AN24" s="73"/>
      <c r="AO24" s="824"/>
      <c r="AP24" s="825"/>
      <c r="AQ24" s="825"/>
      <c r="AR24" s="825"/>
      <c r="AS24" s="825"/>
      <c r="AT24" s="826"/>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row>
    <row r="25" spans="1:76" ht="15.75" customHeight="1" thickBot="1" x14ac:dyDescent="0.3">
      <c r="A25" s="73"/>
      <c r="B25" s="773"/>
      <c r="C25" s="773"/>
      <c r="D25" s="774"/>
      <c r="E25" s="817"/>
      <c r="F25" s="818"/>
      <c r="G25" s="818"/>
      <c r="H25" s="818"/>
      <c r="I25" s="818"/>
      <c r="J25" s="60" t="e">
        <f>IF(AND('Administrativo '!#REF!="Alta",'Administrativo '!#REF!="Leve"),CONCATENATE("R10C",'Administrativo '!#REF!),"")</f>
        <v>#REF!</v>
      </c>
      <c r="K25" s="61" t="e">
        <f>IF(AND('Administrativo '!#REF!="Alta",'Administrativo '!#REF!="Leve"),CONCATENATE("R10C",'Administrativo '!#REF!),"")</f>
        <v>#REF!</v>
      </c>
      <c r="L25" s="61" t="e">
        <f>IF(AND('Administrativo '!#REF!="Alta",'Administrativo '!#REF!="Leve"),CONCATENATE("R10C",'Administrativo '!#REF!),"")</f>
        <v>#REF!</v>
      </c>
      <c r="M25" s="61" t="e">
        <f>IF(AND('Administrativo '!#REF!="Alta",'Administrativo '!#REF!="Leve"),CONCATENATE("R10C",'Administrativo '!#REF!),"")</f>
        <v>#REF!</v>
      </c>
      <c r="N25" s="61" t="e">
        <f>IF(AND('Administrativo '!#REF!="Alta",'Administrativo '!#REF!="Leve"),CONCATENATE("R10C",'Administrativo '!#REF!),"")</f>
        <v>#REF!</v>
      </c>
      <c r="O25" s="62" t="e">
        <f>IF(AND('Administrativo '!#REF!="Alta",'Administrativo '!#REF!="Leve"),CONCATENATE("R10C",'Administrativo '!#REF!),"")</f>
        <v>#REF!</v>
      </c>
      <c r="P25" s="60" t="e">
        <f>IF(AND('Administrativo '!#REF!="Alta",'Administrativo '!#REF!="Menor"),CONCATENATE("R10C",'Administrativo '!#REF!),"")</f>
        <v>#REF!</v>
      </c>
      <c r="Q25" s="61" t="e">
        <f>IF(AND('Administrativo '!#REF!="Alta",'Administrativo '!#REF!="Menor"),CONCATENATE("R10C",'Administrativo '!#REF!),"")</f>
        <v>#REF!</v>
      </c>
      <c r="R25" s="61" t="e">
        <f>IF(AND('Administrativo '!#REF!="Alta",'Administrativo '!#REF!="Menor"),CONCATENATE("R10C",'Administrativo '!#REF!),"")</f>
        <v>#REF!</v>
      </c>
      <c r="S25" s="61" t="e">
        <f>IF(AND('Administrativo '!#REF!="Alta",'Administrativo '!#REF!="Menor"),CONCATENATE("R10C",'Administrativo '!#REF!),"")</f>
        <v>#REF!</v>
      </c>
      <c r="T25" s="61" t="e">
        <f>IF(AND('Administrativo '!#REF!="Alta",'Administrativo '!#REF!="Menor"),CONCATENATE("R10C",'Administrativo '!#REF!),"")</f>
        <v>#REF!</v>
      </c>
      <c r="U25" s="62" t="e">
        <f>IF(AND('Administrativo '!#REF!="Alta",'Administrativo '!#REF!="Menor"),CONCATENATE("R10C",'Administrativo '!#REF!),"")</f>
        <v>#REF!</v>
      </c>
      <c r="V25" s="48" t="e">
        <f>IF(AND('Administrativo '!#REF!="Alta",'Administrativo '!#REF!="Moderado"),CONCATENATE("R10C",'Administrativo '!#REF!),"")</f>
        <v>#REF!</v>
      </c>
      <c r="W25" s="49" t="e">
        <f>IF(AND('Administrativo '!#REF!="Alta",'Administrativo '!#REF!="Moderado"),CONCATENATE("R10C",'Administrativo '!#REF!),"")</f>
        <v>#REF!</v>
      </c>
      <c r="X25" s="49" t="e">
        <f>IF(AND('Administrativo '!#REF!="Alta",'Administrativo '!#REF!="Moderado"),CONCATENATE("R10C",'Administrativo '!#REF!),"")</f>
        <v>#REF!</v>
      </c>
      <c r="Y25" s="49" t="e">
        <f>IF(AND('Administrativo '!#REF!="Alta",'Administrativo '!#REF!="Moderado"),CONCATENATE("R10C",'Administrativo '!#REF!),"")</f>
        <v>#REF!</v>
      </c>
      <c r="Z25" s="49" t="e">
        <f>IF(AND('Administrativo '!#REF!="Alta",'Administrativo '!#REF!="Moderado"),CONCATENATE("R10C",'Administrativo '!#REF!),"")</f>
        <v>#REF!</v>
      </c>
      <c r="AA25" s="50" t="e">
        <f>IF(AND('Administrativo '!#REF!="Alta",'Administrativo '!#REF!="Moderado"),CONCATENATE("R10C",'Administrativo '!#REF!),"")</f>
        <v>#REF!</v>
      </c>
      <c r="AB25" s="48" t="e">
        <f>IF(AND('Administrativo '!#REF!="Alta",'Administrativo '!#REF!="Mayor"),CONCATENATE("R10C",'Administrativo '!#REF!),"")</f>
        <v>#REF!</v>
      </c>
      <c r="AC25" s="49" t="e">
        <f>IF(AND('Administrativo '!#REF!="Alta",'Administrativo '!#REF!="Mayor"),CONCATENATE("R10C",'Administrativo '!#REF!),"")</f>
        <v>#REF!</v>
      </c>
      <c r="AD25" s="49" t="e">
        <f>IF(AND('Administrativo '!#REF!="Alta",'Administrativo '!#REF!="Mayor"),CONCATENATE("R10C",'Administrativo '!#REF!),"")</f>
        <v>#REF!</v>
      </c>
      <c r="AE25" s="49" t="e">
        <f>IF(AND('Administrativo '!#REF!="Alta",'Administrativo '!#REF!="Mayor"),CONCATENATE("R10C",'Administrativo '!#REF!),"")</f>
        <v>#REF!</v>
      </c>
      <c r="AF25" s="49" t="e">
        <f>IF(AND('Administrativo '!#REF!="Alta",'Administrativo '!#REF!="Mayor"),CONCATENATE("R10C",'Administrativo '!#REF!),"")</f>
        <v>#REF!</v>
      </c>
      <c r="AG25" s="50" t="e">
        <f>IF(AND('Administrativo '!#REF!="Alta",'Administrativo '!#REF!="Mayor"),CONCATENATE("R10C",'Administrativo '!#REF!),"")</f>
        <v>#REF!</v>
      </c>
      <c r="AH25" s="51" t="e">
        <f>IF(AND('Administrativo '!#REF!="Alta",'Administrativo '!#REF!="Catastrófico"),CONCATENATE("R10C",'Administrativo '!#REF!),"")</f>
        <v>#REF!</v>
      </c>
      <c r="AI25" s="52" t="e">
        <f>IF(AND('Administrativo '!#REF!="Alta",'Administrativo '!#REF!="Catastrófico"),CONCATENATE("R10C",'Administrativo '!#REF!),"")</f>
        <v>#REF!</v>
      </c>
      <c r="AJ25" s="52" t="e">
        <f>IF(AND('Administrativo '!#REF!="Alta",'Administrativo '!#REF!="Catastrófico"),CONCATENATE("R10C",'Administrativo '!#REF!),"")</f>
        <v>#REF!</v>
      </c>
      <c r="AK25" s="52" t="e">
        <f>IF(AND('Administrativo '!#REF!="Alta",'Administrativo '!#REF!="Catastrófico"),CONCATENATE("R10C",'Administrativo '!#REF!),"")</f>
        <v>#REF!</v>
      </c>
      <c r="AL25" s="52" t="e">
        <f>IF(AND('Administrativo '!#REF!="Alta",'Administrativo '!#REF!="Catastrófico"),CONCATENATE("R10C",'Administrativo '!#REF!),"")</f>
        <v>#REF!</v>
      </c>
      <c r="AM25" s="53" t="e">
        <f>IF(AND('Administrativo '!#REF!="Alta",'Administrativo '!#REF!="Catastrófico"),CONCATENATE("R10C",'Administrativo '!#REF!),"")</f>
        <v>#REF!</v>
      </c>
      <c r="AN25" s="73"/>
      <c r="AO25" s="827"/>
      <c r="AP25" s="828"/>
      <c r="AQ25" s="828"/>
      <c r="AR25" s="828"/>
      <c r="AS25" s="828"/>
      <c r="AT25" s="829"/>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row>
    <row r="26" spans="1:76" ht="15" customHeight="1" x14ac:dyDescent="0.25">
      <c r="A26" s="73"/>
      <c r="B26" s="773"/>
      <c r="C26" s="773"/>
      <c r="D26" s="774"/>
      <c r="E26" s="811" t="s">
        <v>113</v>
      </c>
      <c r="F26" s="812"/>
      <c r="G26" s="812"/>
      <c r="H26" s="812"/>
      <c r="I26" s="813"/>
      <c r="J26" s="54" t="str">
        <f>IF(AND('Administrativo '!$Y$10="Media",'Administrativo '!$AA$10="Leve"),CONCATENATE("R1C",'Administrativo '!$O$10),"")</f>
        <v/>
      </c>
      <c r="K26" s="55" t="str">
        <f>IF(AND('Administrativo '!$Y$11="Media",'Administrativo '!$AA$11="Leve"),CONCATENATE("R1C",'Administrativo '!$O$11),"")</f>
        <v/>
      </c>
      <c r="L26" s="55" t="e">
        <f>IF(AND('Administrativo '!#REF!="Media",'Administrativo '!#REF!="Leve"),CONCATENATE("R1C",'Administrativo '!#REF!),"")</f>
        <v>#REF!</v>
      </c>
      <c r="M26" s="55" t="e">
        <f>IF(AND('Administrativo '!#REF!="Media",'Administrativo '!#REF!="Leve"),CONCATENATE("R1C",'Administrativo '!#REF!),"")</f>
        <v>#REF!</v>
      </c>
      <c r="N26" s="55" t="e">
        <f>IF(AND('Administrativo '!#REF!="Media",'Administrativo '!#REF!="Leve"),CONCATENATE("R1C",'Administrativo '!#REF!),"")</f>
        <v>#REF!</v>
      </c>
      <c r="O26" s="56" t="e">
        <f>IF(AND('Administrativo '!#REF!="Media",'Administrativo '!#REF!="Leve"),CONCATENATE("R1C",'Administrativo '!#REF!),"")</f>
        <v>#REF!</v>
      </c>
      <c r="P26" s="54" t="str">
        <f>IF(AND('Administrativo '!$Y$10="Media",'Administrativo '!$AA$10="Menor"),CONCATENATE("R1C",'Administrativo '!$O$10),"")</f>
        <v>R1C1</v>
      </c>
      <c r="Q26" s="55" t="str">
        <f>IF(AND('Administrativo '!$Y$11="Media",'Administrativo '!$AA$11="Menor"),CONCATENATE("R1C",'Administrativo '!$O$11),"")</f>
        <v/>
      </c>
      <c r="R26" s="55" t="e">
        <f>IF(AND('Administrativo '!#REF!="Media",'Administrativo '!#REF!="Menor"),CONCATENATE("R1C",'Administrativo '!#REF!),"")</f>
        <v>#REF!</v>
      </c>
      <c r="S26" s="55" t="e">
        <f>IF(AND('Administrativo '!#REF!="Media",'Administrativo '!#REF!="Menor"),CONCATENATE("R1C",'Administrativo '!#REF!),"")</f>
        <v>#REF!</v>
      </c>
      <c r="T26" s="55" t="e">
        <f>IF(AND('Administrativo '!#REF!="Media",'Administrativo '!#REF!="Menor"),CONCATENATE("R1C",'Administrativo '!#REF!),"")</f>
        <v>#REF!</v>
      </c>
      <c r="U26" s="56" t="e">
        <f>IF(AND('Administrativo '!#REF!="Media",'Administrativo '!#REF!="Menor"),CONCATENATE("R1C",'Administrativo '!#REF!),"")</f>
        <v>#REF!</v>
      </c>
      <c r="V26" s="54" t="str">
        <f>IF(AND('Administrativo '!$Y$10="Media",'Administrativo '!$AA$10="Moderado"),CONCATENATE("R1C",'Administrativo '!$O$10),"")</f>
        <v/>
      </c>
      <c r="W26" s="55" t="str">
        <f>IF(AND('Administrativo '!$Y$11="Media",'Administrativo '!$AA$11="Moderado"),CONCATENATE("R1C",'Administrativo '!$O$11),"")</f>
        <v/>
      </c>
      <c r="X26" s="55" t="e">
        <f>IF(AND('Administrativo '!#REF!="Media",'Administrativo '!#REF!="Moderado"),CONCATENATE("R1C",'Administrativo '!#REF!),"")</f>
        <v>#REF!</v>
      </c>
      <c r="Y26" s="55" t="e">
        <f>IF(AND('Administrativo '!#REF!="Media",'Administrativo '!#REF!="Moderado"),CONCATENATE("R1C",'Administrativo '!#REF!),"")</f>
        <v>#REF!</v>
      </c>
      <c r="Z26" s="55" t="e">
        <f>IF(AND('Administrativo '!#REF!="Media",'Administrativo '!#REF!="Moderado"),CONCATENATE("R1C",'Administrativo '!#REF!),"")</f>
        <v>#REF!</v>
      </c>
      <c r="AA26" s="56" t="e">
        <f>IF(AND('Administrativo '!#REF!="Media",'Administrativo '!#REF!="Moderado"),CONCATENATE("R1C",'Administrativo '!#REF!),"")</f>
        <v>#REF!</v>
      </c>
      <c r="AB26" s="36" t="str">
        <f>IF(AND('Administrativo '!$Y$10="Media",'Administrativo '!$AA$10="Mayor"),CONCATENATE("R1C",'Administrativo '!$O$10),"")</f>
        <v/>
      </c>
      <c r="AC26" s="37" t="str">
        <f>IF(AND('Administrativo '!$Y$11="Media",'Administrativo '!$AA$11="Mayor"),CONCATENATE("R1C",'Administrativo '!$O$11),"")</f>
        <v/>
      </c>
      <c r="AD26" s="37" t="e">
        <f>IF(AND('Administrativo '!#REF!="Media",'Administrativo '!#REF!="Mayor"),CONCATENATE("R1C",'Administrativo '!#REF!),"")</f>
        <v>#REF!</v>
      </c>
      <c r="AE26" s="37" t="e">
        <f>IF(AND('Administrativo '!#REF!="Media",'Administrativo '!#REF!="Mayor"),CONCATENATE("R1C",'Administrativo '!#REF!),"")</f>
        <v>#REF!</v>
      </c>
      <c r="AF26" s="37" t="e">
        <f>IF(AND('Administrativo '!#REF!="Media",'Administrativo '!#REF!="Mayor"),CONCATENATE("R1C",'Administrativo '!#REF!),"")</f>
        <v>#REF!</v>
      </c>
      <c r="AG26" s="38" t="e">
        <f>IF(AND('Administrativo '!#REF!="Media",'Administrativo '!#REF!="Mayor"),CONCATENATE("R1C",'Administrativo '!#REF!),"")</f>
        <v>#REF!</v>
      </c>
      <c r="AH26" s="39" t="str">
        <f>IF(AND('Administrativo '!$Y$10="Media",'Administrativo '!$AA$10="Catastrófico"),CONCATENATE("R1C",'Administrativo '!$O$10),"")</f>
        <v/>
      </c>
      <c r="AI26" s="40" t="str">
        <f>IF(AND('Administrativo '!$Y$11="Media",'Administrativo '!$AA$11="Catastrófico"),CONCATENATE("R1C",'Administrativo '!$O$11),"")</f>
        <v/>
      </c>
      <c r="AJ26" s="40" t="e">
        <f>IF(AND('Administrativo '!#REF!="Media",'Administrativo '!#REF!="Catastrófico"),CONCATENATE("R1C",'Administrativo '!#REF!),"")</f>
        <v>#REF!</v>
      </c>
      <c r="AK26" s="40" t="e">
        <f>IF(AND('Administrativo '!#REF!="Media",'Administrativo '!#REF!="Catastrófico"),CONCATENATE("R1C",'Administrativo '!#REF!),"")</f>
        <v>#REF!</v>
      </c>
      <c r="AL26" s="40" t="e">
        <f>IF(AND('Administrativo '!#REF!="Media",'Administrativo '!#REF!="Catastrófico"),CONCATENATE("R1C",'Administrativo '!#REF!),"")</f>
        <v>#REF!</v>
      </c>
      <c r="AM26" s="41" t="e">
        <f>IF(AND('Administrativo '!#REF!="Media",'Administrativo '!#REF!="Catastrófico"),CONCATENATE("R1C",'Administrativo '!#REF!),"")</f>
        <v>#REF!</v>
      </c>
      <c r="AN26" s="73"/>
      <c r="AO26" s="851" t="s">
        <v>114</v>
      </c>
      <c r="AP26" s="852"/>
      <c r="AQ26" s="852"/>
      <c r="AR26" s="852"/>
      <c r="AS26" s="852"/>
      <c r="AT26" s="85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row>
    <row r="27" spans="1:76" ht="15" customHeight="1" x14ac:dyDescent="0.25">
      <c r="A27" s="73"/>
      <c r="B27" s="773"/>
      <c r="C27" s="773"/>
      <c r="D27" s="774"/>
      <c r="E27" s="830"/>
      <c r="F27" s="815"/>
      <c r="G27" s="815"/>
      <c r="H27" s="815"/>
      <c r="I27" s="816"/>
      <c r="J27" s="57" t="e">
        <f>IF(AND('Administrativo '!#REF!="Media",'Administrativo '!#REF!="Leve"),CONCATENATE("R2C",'Administrativo '!#REF!),"")</f>
        <v>#REF!</v>
      </c>
      <c r="K27" s="58" t="e">
        <f>IF(AND('Administrativo '!#REF!="Media",'Administrativo '!#REF!="Leve"),CONCATENATE("R2C",'Administrativo '!#REF!),"")</f>
        <v>#REF!</v>
      </c>
      <c r="L27" s="58" t="e">
        <f>IF(AND('Administrativo '!#REF!="Media",'Administrativo '!#REF!="Leve"),CONCATENATE("R2C",'Administrativo '!#REF!),"")</f>
        <v>#REF!</v>
      </c>
      <c r="M27" s="58" t="e">
        <f>IF(AND('Administrativo '!#REF!="Media",'Administrativo '!#REF!="Leve"),CONCATENATE("R2C",'Administrativo '!#REF!),"")</f>
        <v>#REF!</v>
      </c>
      <c r="N27" s="58" t="e">
        <f>IF(AND('Administrativo '!#REF!="Media",'Administrativo '!#REF!="Leve"),CONCATENATE("R2C",'Administrativo '!#REF!),"")</f>
        <v>#REF!</v>
      </c>
      <c r="O27" s="59" t="e">
        <f>IF(AND('Administrativo '!#REF!="Media",'Administrativo '!#REF!="Leve"),CONCATENATE("R2C",'Administrativo '!#REF!),"")</f>
        <v>#REF!</v>
      </c>
      <c r="P27" s="57" t="e">
        <f>IF(AND('Administrativo '!#REF!="Media",'Administrativo '!#REF!="Menor"),CONCATENATE("R2C",'Administrativo '!#REF!),"")</f>
        <v>#REF!</v>
      </c>
      <c r="Q27" s="58" t="e">
        <f>IF(AND('Administrativo '!#REF!="Media",'Administrativo '!#REF!="Menor"),CONCATENATE("R2C",'Administrativo '!#REF!),"")</f>
        <v>#REF!</v>
      </c>
      <c r="R27" s="58" t="e">
        <f>IF(AND('Administrativo '!#REF!="Media",'Administrativo '!#REF!="Menor"),CONCATENATE("R2C",'Administrativo '!#REF!),"")</f>
        <v>#REF!</v>
      </c>
      <c r="S27" s="58" t="e">
        <f>IF(AND('Administrativo '!#REF!="Media",'Administrativo '!#REF!="Menor"),CONCATENATE("R2C",'Administrativo '!#REF!),"")</f>
        <v>#REF!</v>
      </c>
      <c r="T27" s="58" t="e">
        <f>IF(AND('Administrativo '!#REF!="Media",'Administrativo '!#REF!="Menor"),CONCATENATE("R2C",'Administrativo '!#REF!),"")</f>
        <v>#REF!</v>
      </c>
      <c r="U27" s="59" t="e">
        <f>IF(AND('Administrativo '!#REF!="Media",'Administrativo '!#REF!="Menor"),CONCATENATE("R2C",'Administrativo '!#REF!),"")</f>
        <v>#REF!</v>
      </c>
      <c r="V27" s="57" t="e">
        <f>IF(AND('Administrativo '!#REF!="Media",'Administrativo '!#REF!="Moderado"),CONCATENATE("R2C",'Administrativo '!#REF!),"")</f>
        <v>#REF!</v>
      </c>
      <c r="W27" s="58" t="e">
        <f>IF(AND('Administrativo '!#REF!="Media",'Administrativo '!#REF!="Moderado"),CONCATENATE("R2C",'Administrativo '!#REF!),"")</f>
        <v>#REF!</v>
      </c>
      <c r="X27" s="58" t="e">
        <f>IF(AND('Administrativo '!#REF!="Media",'Administrativo '!#REF!="Moderado"),CONCATENATE("R2C",'Administrativo '!#REF!),"")</f>
        <v>#REF!</v>
      </c>
      <c r="Y27" s="58" t="e">
        <f>IF(AND('Administrativo '!#REF!="Media",'Administrativo '!#REF!="Moderado"),CONCATENATE("R2C",'Administrativo '!#REF!),"")</f>
        <v>#REF!</v>
      </c>
      <c r="Z27" s="58" t="e">
        <f>IF(AND('Administrativo '!#REF!="Media",'Administrativo '!#REF!="Moderado"),CONCATENATE("R2C",'Administrativo '!#REF!),"")</f>
        <v>#REF!</v>
      </c>
      <c r="AA27" s="59" t="e">
        <f>IF(AND('Administrativo '!#REF!="Media",'Administrativo '!#REF!="Moderado"),CONCATENATE("R2C",'Administrativo '!#REF!),"")</f>
        <v>#REF!</v>
      </c>
      <c r="AB27" s="42" t="e">
        <f>IF(AND('Administrativo '!#REF!="Media",'Administrativo '!#REF!="Mayor"),CONCATENATE("R2C",'Administrativo '!#REF!),"")</f>
        <v>#REF!</v>
      </c>
      <c r="AC27" s="43" t="e">
        <f>IF(AND('Administrativo '!#REF!="Media",'Administrativo '!#REF!="Mayor"),CONCATENATE("R2C",'Administrativo '!#REF!),"")</f>
        <v>#REF!</v>
      </c>
      <c r="AD27" s="43" t="e">
        <f>IF(AND('Administrativo '!#REF!="Media",'Administrativo '!#REF!="Mayor"),CONCATENATE("R2C",'Administrativo '!#REF!),"")</f>
        <v>#REF!</v>
      </c>
      <c r="AE27" s="43" t="e">
        <f>IF(AND('Administrativo '!#REF!="Media",'Administrativo '!#REF!="Mayor"),CONCATENATE("R2C",'Administrativo '!#REF!),"")</f>
        <v>#REF!</v>
      </c>
      <c r="AF27" s="43" t="e">
        <f>IF(AND('Administrativo '!#REF!="Media",'Administrativo '!#REF!="Mayor"),CONCATENATE("R2C",'Administrativo '!#REF!),"")</f>
        <v>#REF!</v>
      </c>
      <c r="AG27" s="44" t="e">
        <f>IF(AND('Administrativo '!#REF!="Media",'Administrativo '!#REF!="Mayor"),CONCATENATE("R2C",'Administrativo '!#REF!),"")</f>
        <v>#REF!</v>
      </c>
      <c r="AH27" s="45" t="e">
        <f>IF(AND('Administrativo '!#REF!="Media",'Administrativo '!#REF!="Catastrófico"),CONCATENATE("R2C",'Administrativo '!#REF!),"")</f>
        <v>#REF!</v>
      </c>
      <c r="AI27" s="46" t="e">
        <f>IF(AND('Administrativo '!#REF!="Media",'Administrativo '!#REF!="Catastrófico"),CONCATENATE("R2C",'Administrativo '!#REF!),"")</f>
        <v>#REF!</v>
      </c>
      <c r="AJ27" s="46" t="e">
        <f>IF(AND('Administrativo '!#REF!="Media",'Administrativo '!#REF!="Catastrófico"),CONCATENATE("R2C",'Administrativo '!#REF!),"")</f>
        <v>#REF!</v>
      </c>
      <c r="AK27" s="46" t="e">
        <f>IF(AND('Administrativo '!#REF!="Media",'Administrativo '!#REF!="Catastrófico"),CONCATENATE("R2C",'Administrativo '!#REF!),"")</f>
        <v>#REF!</v>
      </c>
      <c r="AL27" s="46" t="e">
        <f>IF(AND('Administrativo '!#REF!="Media",'Administrativo '!#REF!="Catastrófico"),CONCATENATE("R2C",'Administrativo '!#REF!),"")</f>
        <v>#REF!</v>
      </c>
      <c r="AM27" s="47" t="e">
        <f>IF(AND('Administrativo '!#REF!="Media",'Administrativo '!#REF!="Catastrófico"),CONCATENATE("R2C",'Administrativo '!#REF!),"")</f>
        <v>#REF!</v>
      </c>
      <c r="AN27" s="73"/>
      <c r="AO27" s="854"/>
      <c r="AP27" s="855"/>
      <c r="AQ27" s="855"/>
      <c r="AR27" s="855"/>
      <c r="AS27" s="855"/>
      <c r="AT27" s="856"/>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row>
    <row r="28" spans="1:76" ht="15" customHeight="1" x14ac:dyDescent="0.25">
      <c r="A28" s="73"/>
      <c r="B28" s="773"/>
      <c r="C28" s="773"/>
      <c r="D28" s="774"/>
      <c r="E28" s="814"/>
      <c r="F28" s="815"/>
      <c r="G28" s="815"/>
      <c r="H28" s="815"/>
      <c r="I28" s="816"/>
      <c r="J28" s="57" t="e">
        <f>IF(AND('Administrativo '!#REF!="Media",'Administrativo '!#REF!="Leve"),CONCATENATE("R3C",'Administrativo '!#REF!),"")</f>
        <v>#REF!</v>
      </c>
      <c r="K28" s="58" t="e">
        <f>IF(AND('Administrativo '!#REF!="Media",'Administrativo '!#REF!="Leve"),CONCATENATE("R3C",'Administrativo '!#REF!),"")</f>
        <v>#REF!</v>
      </c>
      <c r="L28" s="58" t="e">
        <f>IF(AND('Administrativo '!#REF!="Media",'Administrativo '!#REF!="Leve"),CONCATENATE("R3C",'Administrativo '!#REF!),"")</f>
        <v>#REF!</v>
      </c>
      <c r="M28" s="58" t="e">
        <f>IF(AND('Administrativo '!#REF!="Media",'Administrativo '!#REF!="Leve"),CONCATENATE("R3C",'Administrativo '!#REF!),"")</f>
        <v>#REF!</v>
      </c>
      <c r="N28" s="58" t="e">
        <f>IF(AND('Administrativo '!#REF!="Media",'Administrativo '!#REF!="Leve"),CONCATENATE("R3C",'Administrativo '!#REF!),"")</f>
        <v>#REF!</v>
      </c>
      <c r="O28" s="59" t="e">
        <f>IF(AND('Administrativo '!#REF!="Media",'Administrativo '!#REF!="Leve"),CONCATENATE("R3C",'Administrativo '!#REF!),"")</f>
        <v>#REF!</v>
      </c>
      <c r="P28" s="57" t="e">
        <f>IF(AND('Administrativo '!#REF!="Media",'Administrativo '!#REF!="Menor"),CONCATENATE("R3C",'Administrativo '!#REF!),"")</f>
        <v>#REF!</v>
      </c>
      <c r="Q28" s="58" t="e">
        <f>IF(AND('Administrativo '!#REF!="Media",'Administrativo '!#REF!="Menor"),CONCATENATE("R3C",'Administrativo '!#REF!),"")</f>
        <v>#REF!</v>
      </c>
      <c r="R28" s="58" t="e">
        <f>IF(AND('Administrativo '!#REF!="Media",'Administrativo '!#REF!="Menor"),CONCATENATE("R3C",'Administrativo '!#REF!),"")</f>
        <v>#REF!</v>
      </c>
      <c r="S28" s="58" t="e">
        <f>IF(AND('Administrativo '!#REF!="Media",'Administrativo '!#REF!="Menor"),CONCATENATE("R3C",'Administrativo '!#REF!),"")</f>
        <v>#REF!</v>
      </c>
      <c r="T28" s="58" t="e">
        <f>IF(AND('Administrativo '!#REF!="Media",'Administrativo '!#REF!="Menor"),CONCATENATE("R3C",'Administrativo '!#REF!),"")</f>
        <v>#REF!</v>
      </c>
      <c r="U28" s="59" t="e">
        <f>IF(AND('Administrativo '!#REF!="Media",'Administrativo '!#REF!="Menor"),CONCATENATE("R3C",'Administrativo '!#REF!),"")</f>
        <v>#REF!</v>
      </c>
      <c r="V28" s="57" t="e">
        <f>IF(AND('Administrativo '!#REF!="Media",'Administrativo '!#REF!="Moderado"),CONCATENATE("R3C",'Administrativo '!#REF!),"")</f>
        <v>#REF!</v>
      </c>
      <c r="W28" s="58" t="e">
        <f>IF(AND('Administrativo '!#REF!="Media",'Administrativo '!#REF!="Moderado"),CONCATENATE("R3C",'Administrativo '!#REF!),"")</f>
        <v>#REF!</v>
      </c>
      <c r="X28" s="58" t="e">
        <f>IF(AND('Administrativo '!#REF!="Media",'Administrativo '!#REF!="Moderado"),CONCATENATE("R3C",'Administrativo '!#REF!),"")</f>
        <v>#REF!</v>
      </c>
      <c r="Y28" s="58" t="e">
        <f>IF(AND('Administrativo '!#REF!="Media",'Administrativo '!#REF!="Moderado"),CONCATENATE("R3C",'Administrativo '!#REF!),"")</f>
        <v>#REF!</v>
      </c>
      <c r="Z28" s="58" t="e">
        <f>IF(AND('Administrativo '!#REF!="Media",'Administrativo '!#REF!="Moderado"),CONCATENATE("R3C",'Administrativo '!#REF!),"")</f>
        <v>#REF!</v>
      </c>
      <c r="AA28" s="59" t="e">
        <f>IF(AND('Administrativo '!#REF!="Media",'Administrativo '!#REF!="Moderado"),CONCATENATE("R3C",'Administrativo '!#REF!),"")</f>
        <v>#REF!</v>
      </c>
      <c r="AB28" s="42" t="e">
        <f>IF(AND('Administrativo '!#REF!="Media",'Administrativo '!#REF!="Mayor"),CONCATENATE("R3C",'Administrativo '!#REF!),"")</f>
        <v>#REF!</v>
      </c>
      <c r="AC28" s="43" t="e">
        <f>IF(AND('Administrativo '!#REF!="Media",'Administrativo '!#REF!="Mayor"),CONCATENATE("R3C",'Administrativo '!#REF!),"")</f>
        <v>#REF!</v>
      </c>
      <c r="AD28" s="43" t="e">
        <f>IF(AND('Administrativo '!#REF!="Media",'Administrativo '!#REF!="Mayor"),CONCATENATE("R3C",'Administrativo '!#REF!),"")</f>
        <v>#REF!</v>
      </c>
      <c r="AE28" s="43" t="e">
        <f>IF(AND('Administrativo '!#REF!="Media",'Administrativo '!#REF!="Mayor"),CONCATENATE("R3C",'Administrativo '!#REF!),"")</f>
        <v>#REF!</v>
      </c>
      <c r="AF28" s="43" t="e">
        <f>IF(AND('Administrativo '!#REF!="Media",'Administrativo '!#REF!="Mayor"),CONCATENATE("R3C",'Administrativo '!#REF!),"")</f>
        <v>#REF!</v>
      </c>
      <c r="AG28" s="44" t="e">
        <f>IF(AND('Administrativo '!#REF!="Media",'Administrativo '!#REF!="Mayor"),CONCATENATE("R3C",'Administrativo '!#REF!),"")</f>
        <v>#REF!</v>
      </c>
      <c r="AH28" s="45" t="e">
        <f>IF(AND('Administrativo '!#REF!="Media",'Administrativo '!#REF!="Catastrófico"),CONCATENATE("R3C",'Administrativo '!#REF!),"")</f>
        <v>#REF!</v>
      </c>
      <c r="AI28" s="46" t="e">
        <f>IF(AND('Administrativo '!#REF!="Media",'Administrativo '!#REF!="Catastrófico"),CONCATENATE("R3C",'Administrativo '!#REF!),"")</f>
        <v>#REF!</v>
      </c>
      <c r="AJ28" s="46" t="e">
        <f>IF(AND('Administrativo '!#REF!="Media",'Administrativo '!#REF!="Catastrófico"),CONCATENATE("R3C",'Administrativo '!#REF!),"")</f>
        <v>#REF!</v>
      </c>
      <c r="AK28" s="46" t="e">
        <f>IF(AND('Administrativo '!#REF!="Media",'Administrativo '!#REF!="Catastrófico"),CONCATENATE("R3C",'Administrativo '!#REF!),"")</f>
        <v>#REF!</v>
      </c>
      <c r="AL28" s="46" t="e">
        <f>IF(AND('Administrativo '!#REF!="Media",'Administrativo '!#REF!="Catastrófico"),CONCATENATE("R3C",'Administrativo '!#REF!),"")</f>
        <v>#REF!</v>
      </c>
      <c r="AM28" s="47" t="e">
        <f>IF(AND('Administrativo '!#REF!="Media",'Administrativo '!#REF!="Catastrófico"),CONCATENATE("R3C",'Administrativo '!#REF!),"")</f>
        <v>#REF!</v>
      </c>
      <c r="AN28" s="73"/>
      <c r="AO28" s="854"/>
      <c r="AP28" s="855"/>
      <c r="AQ28" s="855"/>
      <c r="AR28" s="855"/>
      <c r="AS28" s="855"/>
      <c r="AT28" s="856"/>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row>
    <row r="29" spans="1:76" ht="15" customHeight="1" x14ac:dyDescent="0.25">
      <c r="A29" s="73"/>
      <c r="B29" s="773"/>
      <c r="C29" s="773"/>
      <c r="D29" s="774"/>
      <c r="E29" s="814"/>
      <c r="F29" s="815"/>
      <c r="G29" s="815"/>
      <c r="H29" s="815"/>
      <c r="I29" s="816"/>
      <c r="J29" s="57" t="e">
        <f>IF(AND('Administrativo '!#REF!="Media",'Administrativo '!#REF!="Leve"),CONCATENATE("R4C",'Administrativo '!#REF!),"")</f>
        <v>#REF!</v>
      </c>
      <c r="K29" s="58" t="e">
        <f>IF(AND('Administrativo '!#REF!="Media",'Administrativo '!#REF!="Leve"),CONCATENATE("R4C",'Administrativo '!#REF!),"")</f>
        <v>#REF!</v>
      </c>
      <c r="L29" s="58" t="e">
        <f>IF(AND('Administrativo '!#REF!="Media",'Administrativo '!#REF!="Leve"),CONCATENATE("R4C",'Administrativo '!#REF!),"")</f>
        <v>#REF!</v>
      </c>
      <c r="M29" s="58" t="e">
        <f>IF(AND('Administrativo '!#REF!="Media",'Administrativo '!#REF!="Leve"),CONCATENATE("R4C",'Administrativo '!#REF!),"")</f>
        <v>#REF!</v>
      </c>
      <c r="N29" s="58" t="e">
        <f>IF(AND('Administrativo '!#REF!="Media",'Administrativo '!#REF!="Leve"),CONCATENATE("R4C",'Administrativo '!#REF!),"")</f>
        <v>#REF!</v>
      </c>
      <c r="O29" s="59" t="e">
        <f>IF(AND('Administrativo '!#REF!="Media",'Administrativo '!#REF!="Leve"),CONCATENATE("R4C",'Administrativo '!#REF!),"")</f>
        <v>#REF!</v>
      </c>
      <c r="P29" s="57" t="e">
        <f>IF(AND('Administrativo '!#REF!="Media",'Administrativo '!#REF!="Menor"),CONCATENATE("R4C",'Administrativo '!#REF!),"")</f>
        <v>#REF!</v>
      </c>
      <c r="Q29" s="58" t="e">
        <f>IF(AND('Administrativo '!#REF!="Media",'Administrativo '!#REF!="Menor"),CONCATENATE("R4C",'Administrativo '!#REF!),"")</f>
        <v>#REF!</v>
      </c>
      <c r="R29" s="58" t="e">
        <f>IF(AND('Administrativo '!#REF!="Media",'Administrativo '!#REF!="Menor"),CONCATENATE("R4C",'Administrativo '!#REF!),"")</f>
        <v>#REF!</v>
      </c>
      <c r="S29" s="58" t="e">
        <f>IF(AND('Administrativo '!#REF!="Media",'Administrativo '!#REF!="Menor"),CONCATENATE("R4C",'Administrativo '!#REF!),"")</f>
        <v>#REF!</v>
      </c>
      <c r="T29" s="58" t="e">
        <f>IF(AND('Administrativo '!#REF!="Media",'Administrativo '!#REF!="Menor"),CONCATENATE("R4C",'Administrativo '!#REF!),"")</f>
        <v>#REF!</v>
      </c>
      <c r="U29" s="59" t="e">
        <f>IF(AND('Administrativo '!#REF!="Media",'Administrativo '!#REF!="Menor"),CONCATENATE("R4C",'Administrativo '!#REF!),"")</f>
        <v>#REF!</v>
      </c>
      <c r="V29" s="57" t="e">
        <f>IF(AND('Administrativo '!#REF!="Media",'Administrativo '!#REF!="Moderado"),CONCATENATE("R4C",'Administrativo '!#REF!),"")</f>
        <v>#REF!</v>
      </c>
      <c r="W29" s="58" t="e">
        <f>IF(AND('Administrativo '!#REF!="Media",'Administrativo '!#REF!="Moderado"),CONCATENATE("R4C",'Administrativo '!#REF!),"")</f>
        <v>#REF!</v>
      </c>
      <c r="X29" s="58" t="e">
        <f>IF(AND('Administrativo '!#REF!="Media",'Administrativo '!#REF!="Moderado"),CONCATENATE("R4C",'Administrativo '!#REF!),"")</f>
        <v>#REF!</v>
      </c>
      <c r="Y29" s="58" t="e">
        <f>IF(AND('Administrativo '!#REF!="Media",'Administrativo '!#REF!="Moderado"),CONCATENATE("R4C",'Administrativo '!#REF!),"")</f>
        <v>#REF!</v>
      </c>
      <c r="Z29" s="58" t="e">
        <f>IF(AND('Administrativo '!#REF!="Media",'Administrativo '!#REF!="Moderado"),CONCATENATE("R4C",'Administrativo '!#REF!),"")</f>
        <v>#REF!</v>
      </c>
      <c r="AA29" s="59" t="e">
        <f>IF(AND('Administrativo '!#REF!="Media",'Administrativo '!#REF!="Moderado"),CONCATENATE("R4C",'Administrativo '!#REF!),"")</f>
        <v>#REF!</v>
      </c>
      <c r="AB29" s="42" t="e">
        <f>IF(AND('Administrativo '!#REF!="Media",'Administrativo '!#REF!="Mayor"),CONCATENATE("R4C",'Administrativo '!#REF!),"")</f>
        <v>#REF!</v>
      </c>
      <c r="AC29" s="43" t="e">
        <f>IF(AND('Administrativo '!#REF!="Media",'Administrativo '!#REF!="Mayor"),CONCATENATE("R4C",'Administrativo '!#REF!),"")</f>
        <v>#REF!</v>
      </c>
      <c r="AD29" s="43" t="e">
        <f>IF(AND('Administrativo '!#REF!="Media",'Administrativo '!#REF!="Mayor"),CONCATENATE("R4C",'Administrativo '!#REF!),"")</f>
        <v>#REF!</v>
      </c>
      <c r="AE29" s="43" t="e">
        <f>IF(AND('Administrativo '!#REF!="Media",'Administrativo '!#REF!="Mayor"),CONCATENATE("R4C",'Administrativo '!#REF!),"")</f>
        <v>#REF!</v>
      </c>
      <c r="AF29" s="43" t="e">
        <f>IF(AND('Administrativo '!#REF!="Media",'Administrativo '!#REF!="Mayor"),CONCATENATE("R4C",'Administrativo '!#REF!),"")</f>
        <v>#REF!</v>
      </c>
      <c r="AG29" s="44" t="e">
        <f>IF(AND('Administrativo '!#REF!="Media",'Administrativo '!#REF!="Mayor"),CONCATENATE("R4C",'Administrativo '!#REF!),"")</f>
        <v>#REF!</v>
      </c>
      <c r="AH29" s="45" t="e">
        <f>IF(AND('Administrativo '!#REF!="Media",'Administrativo '!#REF!="Catastrófico"),CONCATENATE("R4C",'Administrativo '!#REF!),"")</f>
        <v>#REF!</v>
      </c>
      <c r="AI29" s="46" t="e">
        <f>IF(AND('Administrativo '!#REF!="Media",'Administrativo '!#REF!="Catastrófico"),CONCATENATE("R4C",'Administrativo '!#REF!),"")</f>
        <v>#REF!</v>
      </c>
      <c r="AJ29" s="46" t="e">
        <f>IF(AND('Administrativo '!#REF!="Media",'Administrativo '!#REF!="Catastrófico"),CONCATENATE("R4C",'Administrativo '!#REF!),"")</f>
        <v>#REF!</v>
      </c>
      <c r="AK29" s="46" t="e">
        <f>IF(AND('Administrativo '!#REF!="Media",'Administrativo '!#REF!="Catastrófico"),CONCATENATE("R4C",'Administrativo '!#REF!),"")</f>
        <v>#REF!</v>
      </c>
      <c r="AL29" s="46" t="e">
        <f>IF(AND('Administrativo '!#REF!="Media",'Administrativo '!#REF!="Catastrófico"),CONCATENATE("R4C",'Administrativo '!#REF!),"")</f>
        <v>#REF!</v>
      </c>
      <c r="AM29" s="47" t="e">
        <f>IF(AND('Administrativo '!#REF!="Media",'Administrativo '!#REF!="Catastrófico"),CONCATENATE("R4C",'Administrativo '!#REF!),"")</f>
        <v>#REF!</v>
      </c>
      <c r="AN29" s="73"/>
      <c r="AO29" s="854"/>
      <c r="AP29" s="855"/>
      <c r="AQ29" s="855"/>
      <c r="AR29" s="855"/>
      <c r="AS29" s="855"/>
      <c r="AT29" s="856"/>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row>
    <row r="30" spans="1:76" ht="15" customHeight="1" x14ac:dyDescent="0.25">
      <c r="A30" s="73"/>
      <c r="B30" s="773"/>
      <c r="C30" s="773"/>
      <c r="D30" s="774"/>
      <c r="E30" s="814"/>
      <c r="F30" s="815"/>
      <c r="G30" s="815"/>
      <c r="H30" s="815"/>
      <c r="I30" s="816"/>
      <c r="J30" s="57" t="e">
        <f>IF(AND('Administrativo '!#REF!="Media",'Administrativo '!#REF!="Leve"),CONCATENATE("R5C",'Administrativo '!#REF!),"")</f>
        <v>#REF!</v>
      </c>
      <c r="K30" s="58" t="e">
        <f>IF(AND('Administrativo '!#REF!="Media",'Administrativo '!#REF!="Leve"),CONCATENATE("R5C",'Administrativo '!#REF!),"")</f>
        <v>#REF!</v>
      </c>
      <c r="L30" s="58" t="e">
        <f>IF(AND('Administrativo '!#REF!="Media",'Administrativo '!#REF!="Leve"),CONCATENATE("R5C",'Administrativo '!#REF!),"")</f>
        <v>#REF!</v>
      </c>
      <c r="M30" s="58" t="e">
        <f>IF(AND('Administrativo '!#REF!="Media",'Administrativo '!#REF!="Leve"),CONCATENATE("R5C",'Administrativo '!#REF!),"")</f>
        <v>#REF!</v>
      </c>
      <c r="N30" s="58" t="e">
        <f>IF(AND('Administrativo '!#REF!="Media",'Administrativo '!#REF!="Leve"),CONCATENATE("R5C",'Administrativo '!#REF!),"")</f>
        <v>#REF!</v>
      </c>
      <c r="O30" s="59" t="e">
        <f>IF(AND('Administrativo '!#REF!="Media",'Administrativo '!#REF!="Leve"),CONCATENATE("R5C",'Administrativo '!#REF!),"")</f>
        <v>#REF!</v>
      </c>
      <c r="P30" s="57" t="e">
        <f>IF(AND('Administrativo '!#REF!="Media",'Administrativo '!#REF!="Menor"),CONCATENATE("R5C",'Administrativo '!#REF!),"")</f>
        <v>#REF!</v>
      </c>
      <c r="Q30" s="58" t="e">
        <f>IF(AND('Administrativo '!#REF!="Media",'Administrativo '!#REF!="Menor"),CONCATENATE("R5C",'Administrativo '!#REF!),"")</f>
        <v>#REF!</v>
      </c>
      <c r="R30" s="58" t="e">
        <f>IF(AND('Administrativo '!#REF!="Media",'Administrativo '!#REF!="Menor"),CONCATENATE("R5C",'Administrativo '!#REF!),"")</f>
        <v>#REF!</v>
      </c>
      <c r="S30" s="58" t="e">
        <f>IF(AND('Administrativo '!#REF!="Media",'Administrativo '!#REF!="Menor"),CONCATENATE("R5C",'Administrativo '!#REF!),"")</f>
        <v>#REF!</v>
      </c>
      <c r="T30" s="58" t="e">
        <f>IF(AND('Administrativo '!#REF!="Media",'Administrativo '!#REF!="Menor"),CONCATENATE("R5C",'Administrativo '!#REF!),"")</f>
        <v>#REF!</v>
      </c>
      <c r="U30" s="59" t="e">
        <f>IF(AND('Administrativo '!#REF!="Media",'Administrativo '!#REF!="Menor"),CONCATENATE("R5C",'Administrativo '!#REF!),"")</f>
        <v>#REF!</v>
      </c>
      <c r="V30" s="57" t="e">
        <f>IF(AND('Administrativo '!#REF!="Media",'Administrativo '!#REF!="Moderado"),CONCATENATE("R5C",'Administrativo '!#REF!),"")</f>
        <v>#REF!</v>
      </c>
      <c r="W30" s="58" t="e">
        <f>IF(AND('Administrativo '!#REF!="Media",'Administrativo '!#REF!="Moderado"),CONCATENATE("R5C",'Administrativo '!#REF!),"")</f>
        <v>#REF!</v>
      </c>
      <c r="X30" s="58" t="e">
        <f>IF(AND('Administrativo '!#REF!="Media",'Administrativo '!#REF!="Moderado"),CONCATENATE("R5C",'Administrativo '!#REF!),"")</f>
        <v>#REF!</v>
      </c>
      <c r="Y30" s="58" t="e">
        <f>IF(AND('Administrativo '!#REF!="Media",'Administrativo '!#REF!="Moderado"),CONCATENATE("R5C",'Administrativo '!#REF!),"")</f>
        <v>#REF!</v>
      </c>
      <c r="Z30" s="58" t="e">
        <f>IF(AND('Administrativo '!#REF!="Media",'Administrativo '!#REF!="Moderado"),CONCATENATE("R5C",'Administrativo '!#REF!),"")</f>
        <v>#REF!</v>
      </c>
      <c r="AA30" s="59" t="e">
        <f>IF(AND('Administrativo '!#REF!="Media",'Administrativo '!#REF!="Moderado"),CONCATENATE("R5C",'Administrativo '!#REF!),"")</f>
        <v>#REF!</v>
      </c>
      <c r="AB30" s="42" t="e">
        <f>IF(AND('Administrativo '!#REF!="Media",'Administrativo '!#REF!="Mayor"),CONCATENATE("R5C",'Administrativo '!#REF!),"")</f>
        <v>#REF!</v>
      </c>
      <c r="AC30" s="43" t="e">
        <f>IF(AND('Administrativo '!#REF!="Media",'Administrativo '!#REF!="Mayor"),CONCATENATE("R5C",'Administrativo '!#REF!),"")</f>
        <v>#REF!</v>
      </c>
      <c r="AD30" s="43" t="e">
        <f>IF(AND('Administrativo '!#REF!="Media",'Administrativo '!#REF!="Mayor"),CONCATENATE("R5C",'Administrativo '!#REF!),"")</f>
        <v>#REF!</v>
      </c>
      <c r="AE30" s="43" t="e">
        <f>IF(AND('Administrativo '!#REF!="Media",'Administrativo '!#REF!="Mayor"),CONCATENATE("R5C",'Administrativo '!#REF!),"")</f>
        <v>#REF!</v>
      </c>
      <c r="AF30" s="43" t="e">
        <f>IF(AND('Administrativo '!#REF!="Media",'Administrativo '!#REF!="Mayor"),CONCATENATE("R5C",'Administrativo '!#REF!),"")</f>
        <v>#REF!</v>
      </c>
      <c r="AG30" s="44" t="e">
        <f>IF(AND('Administrativo '!#REF!="Media",'Administrativo '!#REF!="Mayor"),CONCATENATE("R5C",'Administrativo '!#REF!),"")</f>
        <v>#REF!</v>
      </c>
      <c r="AH30" s="45" t="e">
        <f>IF(AND('Administrativo '!#REF!="Media",'Administrativo '!#REF!="Catastrófico"),CONCATENATE("R5C",'Administrativo '!#REF!),"")</f>
        <v>#REF!</v>
      </c>
      <c r="AI30" s="46" t="e">
        <f>IF(AND('Administrativo '!#REF!="Media",'Administrativo '!#REF!="Catastrófico"),CONCATENATE("R5C",'Administrativo '!#REF!),"")</f>
        <v>#REF!</v>
      </c>
      <c r="AJ30" s="46" t="e">
        <f>IF(AND('Administrativo '!#REF!="Media",'Administrativo '!#REF!="Catastrófico"),CONCATENATE("R5C",'Administrativo '!#REF!),"")</f>
        <v>#REF!</v>
      </c>
      <c r="AK30" s="46" t="e">
        <f>IF(AND('Administrativo '!#REF!="Media",'Administrativo '!#REF!="Catastrófico"),CONCATENATE("R5C",'Administrativo '!#REF!),"")</f>
        <v>#REF!</v>
      </c>
      <c r="AL30" s="46" t="e">
        <f>IF(AND('Administrativo '!#REF!="Media",'Administrativo '!#REF!="Catastrófico"),CONCATENATE("R5C",'Administrativo '!#REF!),"")</f>
        <v>#REF!</v>
      </c>
      <c r="AM30" s="47" t="e">
        <f>IF(AND('Administrativo '!#REF!="Media",'Administrativo '!#REF!="Catastrófico"),CONCATENATE("R5C",'Administrativo '!#REF!),"")</f>
        <v>#REF!</v>
      </c>
      <c r="AN30" s="73"/>
      <c r="AO30" s="854"/>
      <c r="AP30" s="855"/>
      <c r="AQ30" s="855"/>
      <c r="AR30" s="855"/>
      <c r="AS30" s="855"/>
      <c r="AT30" s="856"/>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row>
    <row r="31" spans="1:76" ht="15" customHeight="1" x14ac:dyDescent="0.25">
      <c r="A31" s="73"/>
      <c r="B31" s="773"/>
      <c r="C31" s="773"/>
      <c r="D31" s="774"/>
      <c r="E31" s="814"/>
      <c r="F31" s="815"/>
      <c r="G31" s="815"/>
      <c r="H31" s="815"/>
      <c r="I31" s="816"/>
      <c r="J31" s="57" t="e">
        <f>IF(AND('Administrativo '!#REF!="Media",'Administrativo '!#REF!="Leve"),CONCATENATE("R6C",'Administrativo '!#REF!),"")</f>
        <v>#REF!</v>
      </c>
      <c r="K31" s="58" t="e">
        <f>IF(AND('Administrativo '!#REF!="Media",'Administrativo '!#REF!="Leve"),CONCATENATE("R6C",'Administrativo '!#REF!),"")</f>
        <v>#REF!</v>
      </c>
      <c r="L31" s="58" t="e">
        <f>IF(AND('Administrativo '!#REF!="Media",'Administrativo '!#REF!="Leve"),CONCATENATE("R6C",'Administrativo '!#REF!),"")</f>
        <v>#REF!</v>
      </c>
      <c r="M31" s="58" t="e">
        <f>IF(AND('Administrativo '!#REF!="Media",'Administrativo '!#REF!="Leve"),CONCATENATE("R6C",'Administrativo '!#REF!),"")</f>
        <v>#REF!</v>
      </c>
      <c r="N31" s="58" t="e">
        <f>IF(AND('Administrativo '!#REF!="Media",'Administrativo '!#REF!="Leve"),CONCATENATE("R6C",'Administrativo '!#REF!),"")</f>
        <v>#REF!</v>
      </c>
      <c r="O31" s="59" t="e">
        <f>IF(AND('Administrativo '!#REF!="Media",'Administrativo '!#REF!="Leve"),CONCATENATE("R6C",'Administrativo '!#REF!),"")</f>
        <v>#REF!</v>
      </c>
      <c r="P31" s="57" t="e">
        <f>IF(AND('Administrativo '!#REF!="Media",'Administrativo '!#REF!="Menor"),CONCATENATE("R6C",'Administrativo '!#REF!),"")</f>
        <v>#REF!</v>
      </c>
      <c r="Q31" s="58" t="e">
        <f>IF(AND('Administrativo '!#REF!="Media",'Administrativo '!#REF!="Menor"),CONCATENATE("R6C",'Administrativo '!#REF!),"")</f>
        <v>#REF!</v>
      </c>
      <c r="R31" s="58" t="e">
        <f>IF(AND('Administrativo '!#REF!="Media",'Administrativo '!#REF!="Menor"),CONCATENATE("R6C",'Administrativo '!#REF!),"")</f>
        <v>#REF!</v>
      </c>
      <c r="S31" s="58" t="e">
        <f>IF(AND('Administrativo '!#REF!="Media",'Administrativo '!#REF!="Menor"),CONCATENATE("R6C",'Administrativo '!#REF!),"")</f>
        <v>#REF!</v>
      </c>
      <c r="T31" s="58" t="e">
        <f>IF(AND('Administrativo '!#REF!="Media",'Administrativo '!#REF!="Menor"),CONCATENATE("R6C",'Administrativo '!#REF!),"")</f>
        <v>#REF!</v>
      </c>
      <c r="U31" s="59" t="e">
        <f>IF(AND('Administrativo '!#REF!="Media",'Administrativo '!#REF!="Menor"),CONCATENATE("R6C",'Administrativo '!#REF!),"")</f>
        <v>#REF!</v>
      </c>
      <c r="V31" s="57" t="e">
        <f>IF(AND('Administrativo '!#REF!="Media",'Administrativo '!#REF!="Moderado"),CONCATENATE("R6C",'Administrativo '!#REF!),"")</f>
        <v>#REF!</v>
      </c>
      <c r="W31" s="58" t="e">
        <f>IF(AND('Administrativo '!#REF!="Media",'Administrativo '!#REF!="Moderado"),CONCATENATE("R6C",'Administrativo '!#REF!),"")</f>
        <v>#REF!</v>
      </c>
      <c r="X31" s="58" t="e">
        <f>IF(AND('Administrativo '!#REF!="Media",'Administrativo '!#REF!="Moderado"),CONCATENATE("R6C",'Administrativo '!#REF!),"")</f>
        <v>#REF!</v>
      </c>
      <c r="Y31" s="58" t="e">
        <f>IF(AND('Administrativo '!#REF!="Media",'Administrativo '!#REF!="Moderado"),CONCATENATE("R6C",'Administrativo '!#REF!),"")</f>
        <v>#REF!</v>
      </c>
      <c r="Z31" s="58" t="e">
        <f>IF(AND('Administrativo '!#REF!="Media",'Administrativo '!#REF!="Moderado"),CONCATENATE("R6C",'Administrativo '!#REF!),"")</f>
        <v>#REF!</v>
      </c>
      <c r="AA31" s="59" t="e">
        <f>IF(AND('Administrativo '!#REF!="Media",'Administrativo '!#REF!="Moderado"),CONCATENATE("R6C",'Administrativo '!#REF!),"")</f>
        <v>#REF!</v>
      </c>
      <c r="AB31" s="42" t="e">
        <f>IF(AND('Administrativo '!#REF!="Media",'Administrativo '!#REF!="Mayor"),CONCATENATE("R6C",'Administrativo '!#REF!),"")</f>
        <v>#REF!</v>
      </c>
      <c r="AC31" s="43" t="e">
        <f>IF(AND('Administrativo '!#REF!="Media",'Administrativo '!#REF!="Mayor"),CONCATENATE("R6C",'Administrativo '!#REF!),"")</f>
        <v>#REF!</v>
      </c>
      <c r="AD31" s="43" t="e">
        <f>IF(AND('Administrativo '!#REF!="Media",'Administrativo '!#REF!="Mayor"),CONCATENATE("R6C",'Administrativo '!#REF!),"")</f>
        <v>#REF!</v>
      </c>
      <c r="AE31" s="43" t="e">
        <f>IF(AND('Administrativo '!#REF!="Media",'Administrativo '!#REF!="Mayor"),CONCATENATE("R6C",'Administrativo '!#REF!),"")</f>
        <v>#REF!</v>
      </c>
      <c r="AF31" s="43" t="e">
        <f>IF(AND('Administrativo '!#REF!="Media",'Administrativo '!#REF!="Mayor"),CONCATENATE("R6C",'Administrativo '!#REF!),"")</f>
        <v>#REF!</v>
      </c>
      <c r="AG31" s="44" t="e">
        <f>IF(AND('Administrativo '!#REF!="Media",'Administrativo '!#REF!="Mayor"),CONCATENATE("R6C",'Administrativo '!#REF!),"")</f>
        <v>#REF!</v>
      </c>
      <c r="AH31" s="45" t="e">
        <f>IF(AND('Administrativo '!#REF!="Media",'Administrativo '!#REF!="Catastrófico"),CONCATENATE("R6C",'Administrativo '!#REF!),"")</f>
        <v>#REF!</v>
      </c>
      <c r="AI31" s="46" t="e">
        <f>IF(AND('Administrativo '!#REF!="Media",'Administrativo '!#REF!="Catastrófico"),CONCATENATE("R6C",'Administrativo '!#REF!),"")</f>
        <v>#REF!</v>
      </c>
      <c r="AJ31" s="46" t="e">
        <f>IF(AND('Administrativo '!#REF!="Media",'Administrativo '!#REF!="Catastrófico"),CONCATENATE("R6C",'Administrativo '!#REF!),"")</f>
        <v>#REF!</v>
      </c>
      <c r="AK31" s="46" t="e">
        <f>IF(AND('Administrativo '!#REF!="Media",'Administrativo '!#REF!="Catastrófico"),CONCATENATE("R6C",'Administrativo '!#REF!),"")</f>
        <v>#REF!</v>
      </c>
      <c r="AL31" s="46" t="e">
        <f>IF(AND('Administrativo '!#REF!="Media",'Administrativo '!#REF!="Catastrófico"),CONCATENATE("R6C",'Administrativo '!#REF!),"")</f>
        <v>#REF!</v>
      </c>
      <c r="AM31" s="47" t="e">
        <f>IF(AND('Administrativo '!#REF!="Media",'Administrativo '!#REF!="Catastrófico"),CONCATENATE("R6C",'Administrativo '!#REF!),"")</f>
        <v>#REF!</v>
      </c>
      <c r="AN31" s="73"/>
      <c r="AO31" s="854"/>
      <c r="AP31" s="855"/>
      <c r="AQ31" s="855"/>
      <c r="AR31" s="855"/>
      <c r="AS31" s="855"/>
      <c r="AT31" s="856"/>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row>
    <row r="32" spans="1:76" ht="15" customHeight="1" x14ac:dyDescent="0.25">
      <c r="A32" s="73"/>
      <c r="B32" s="773"/>
      <c r="C32" s="773"/>
      <c r="D32" s="774"/>
      <c r="E32" s="814"/>
      <c r="F32" s="815"/>
      <c r="G32" s="815"/>
      <c r="H32" s="815"/>
      <c r="I32" s="816"/>
      <c r="J32" s="57" t="e">
        <f>IF(AND('Administrativo '!#REF!="Media",'Administrativo '!#REF!="Leve"),CONCATENATE("R7C",'Administrativo '!#REF!),"")</f>
        <v>#REF!</v>
      </c>
      <c r="K32" s="58" t="e">
        <f>IF(AND('Administrativo '!#REF!="Media",'Administrativo '!#REF!="Leve"),CONCATENATE("R7C",'Administrativo '!#REF!),"")</f>
        <v>#REF!</v>
      </c>
      <c r="L32" s="58" t="e">
        <f>IF(AND('Administrativo '!#REF!="Media",'Administrativo '!#REF!="Leve"),CONCATENATE("R7C",'Administrativo '!#REF!),"")</f>
        <v>#REF!</v>
      </c>
      <c r="M32" s="58" t="e">
        <f>IF(AND('Administrativo '!#REF!="Media",'Administrativo '!#REF!="Leve"),CONCATENATE("R7C",'Administrativo '!#REF!),"")</f>
        <v>#REF!</v>
      </c>
      <c r="N32" s="58" t="e">
        <f>IF(AND('Administrativo '!#REF!="Media",'Administrativo '!#REF!="Leve"),CONCATENATE("R7C",'Administrativo '!#REF!),"")</f>
        <v>#REF!</v>
      </c>
      <c r="O32" s="59" t="e">
        <f>IF(AND('Administrativo '!#REF!="Media",'Administrativo '!#REF!="Leve"),CONCATENATE("R7C",'Administrativo '!#REF!),"")</f>
        <v>#REF!</v>
      </c>
      <c r="P32" s="57" t="e">
        <f>IF(AND('Administrativo '!#REF!="Media",'Administrativo '!#REF!="Menor"),CONCATENATE("R7C",'Administrativo '!#REF!),"")</f>
        <v>#REF!</v>
      </c>
      <c r="Q32" s="58" t="e">
        <f>IF(AND('Administrativo '!#REF!="Media",'Administrativo '!#REF!="Menor"),CONCATENATE("R7C",'Administrativo '!#REF!),"")</f>
        <v>#REF!</v>
      </c>
      <c r="R32" s="58" t="e">
        <f>IF(AND('Administrativo '!#REF!="Media",'Administrativo '!#REF!="Menor"),CONCATENATE("R7C",'Administrativo '!#REF!),"")</f>
        <v>#REF!</v>
      </c>
      <c r="S32" s="58" t="e">
        <f>IF(AND('Administrativo '!#REF!="Media",'Administrativo '!#REF!="Menor"),CONCATENATE("R7C",'Administrativo '!#REF!),"")</f>
        <v>#REF!</v>
      </c>
      <c r="T32" s="58" t="e">
        <f>IF(AND('Administrativo '!#REF!="Media",'Administrativo '!#REF!="Menor"),CONCATENATE("R7C",'Administrativo '!#REF!),"")</f>
        <v>#REF!</v>
      </c>
      <c r="U32" s="59" t="e">
        <f>IF(AND('Administrativo '!#REF!="Media",'Administrativo '!#REF!="Menor"),CONCATENATE("R7C",'Administrativo '!#REF!),"")</f>
        <v>#REF!</v>
      </c>
      <c r="V32" s="57" t="e">
        <f>IF(AND('Administrativo '!#REF!="Media",'Administrativo '!#REF!="Moderado"),CONCATENATE("R7C",'Administrativo '!#REF!),"")</f>
        <v>#REF!</v>
      </c>
      <c r="W32" s="58" t="e">
        <f>IF(AND('Administrativo '!#REF!="Media",'Administrativo '!#REF!="Moderado"),CONCATENATE("R7C",'Administrativo '!#REF!),"")</f>
        <v>#REF!</v>
      </c>
      <c r="X32" s="58" t="e">
        <f>IF(AND('Administrativo '!#REF!="Media",'Administrativo '!#REF!="Moderado"),CONCATENATE("R7C",'Administrativo '!#REF!),"")</f>
        <v>#REF!</v>
      </c>
      <c r="Y32" s="58" t="e">
        <f>IF(AND('Administrativo '!#REF!="Media",'Administrativo '!#REF!="Moderado"),CONCATENATE("R7C",'Administrativo '!#REF!),"")</f>
        <v>#REF!</v>
      </c>
      <c r="Z32" s="58" t="e">
        <f>IF(AND('Administrativo '!#REF!="Media",'Administrativo '!#REF!="Moderado"),CONCATENATE("R7C",'Administrativo '!#REF!),"")</f>
        <v>#REF!</v>
      </c>
      <c r="AA32" s="59" t="e">
        <f>IF(AND('Administrativo '!#REF!="Media",'Administrativo '!#REF!="Moderado"),CONCATENATE("R7C",'Administrativo '!#REF!),"")</f>
        <v>#REF!</v>
      </c>
      <c r="AB32" s="42" t="e">
        <f>IF(AND('Administrativo '!#REF!="Media",'Administrativo '!#REF!="Mayor"),CONCATENATE("R7C",'Administrativo '!#REF!),"")</f>
        <v>#REF!</v>
      </c>
      <c r="AC32" s="43" t="e">
        <f>IF(AND('Administrativo '!#REF!="Media",'Administrativo '!#REF!="Mayor"),CONCATENATE("R7C",'Administrativo '!#REF!),"")</f>
        <v>#REF!</v>
      </c>
      <c r="AD32" s="43" t="e">
        <f>IF(AND('Administrativo '!#REF!="Media",'Administrativo '!#REF!="Mayor"),CONCATENATE("R7C",'Administrativo '!#REF!),"")</f>
        <v>#REF!</v>
      </c>
      <c r="AE32" s="43" t="e">
        <f>IF(AND('Administrativo '!#REF!="Media",'Administrativo '!#REF!="Mayor"),CONCATENATE("R7C",'Administrativo '!#REF!),"")</f>
        <v>#REF!</v>
      </c>
      <c r="AF32" s="43" t="e">
        <f>IF(AND('Administrativo '!#REF!="Media",'Administrativo '!#REF!="Mayor"),CONCATENATE("R7C",'Administrativo '!#REF!),"")</f>
        <v>#REF!</v>
      </c>
      <c r="AG32" s="44" t="e">
        <f>IF(AND('Administrativo '!#REF!="Media",'Administrativo '!#REF!="Mayor"),CONCATENATE("R7C",'Administrativo '!#REF!),"")</f>
        <v>#REF!</v>
      </c>
      <c r="AH32" s="45" t="e">
        <f>IF(AND('Administrativo '!#REF!="Media",'Administrativo '!#REF!="Catastrófico"),CONCATENATE("R7C",'Administrativo '!#REF!),"")</f>
        <v>#REF!</v>
      </c>
      <c r="AI32" s="46" t="e">
        <f>IF(AND('Administrativo '!#REF!="Media",'Administrativo '!#REF!="Catastrófico"),CONCATENATE("R7C",'Administrativo '!#REF!),"")</f>
        <v>#REF!</v>
      </c>
      <c r="AJ32" s="46" t="e">
        <f>IF(AND('Administrativo '!#REF!="Media",'Administrativo '!#REF!="Catastrófico"),CONCATENATE("R7C",'Administrativo '!#REF!),"")</f>
        <v>#REF!</v>
      </c>
      <c r="AK32" s="46" t="e">
        <f>IF(AND('Administrativo '!#REF!="Media",'Administrativo '!#REF!="Catastrófico"),CONCATENATE("R7C",'Administrativo '!#REF!),"")</f>
        <v>#REF!</v>
      </c>
      <c r="AL32" s="46" t="e">
        <f>IF(AND('Administrativo '!#REF!="Media",'Administrativo '!#REF!="Catastrófico"),CONCATENATE("R7C",'Administrativo '!#REF!),"")</f>
        <v>#REF!</v>
      </c>
      <c r="AM32" s="47" t="e">
        <f>IF(AND('Administrativo '!#REF!="Media",'Administrativo '!#REF!="Catastrófico"),CONCATENATE("R7C",'Administrativo '!#REF!),"")</f>
        <v>#REF!</v>
      </c>
      <c r="AN32" s="73"/>
      <c r="AO32" s="854"/>
      <c r="AP32" s="855"/>
      <c r="AQ32" s="855"/>
      <c r="AR32" s="855"/>
      <c r="AS32" s="855"/>
      <c r="AT32" s="856"/>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row>
    <row r="33" spans="1:80" ht="15" customHeight="1" x14ac:dyDescent="0.25">
      <c r="A33" s="73"/>
      <c r="B33" s="773"/>
      <c r="C33" s="773"/>
      <c r="D33" s="774"/>
      <c r="E33" s="814"/>
      <c r="F33" s="815"/>
      <c r="G33" s="815"/>
      <c r="H33" s="815"/>
      <c r="I33" s="816"/>
      <c r="J33" s="57" t="e">
        <f>IF(AND('Administrativo '!#REF!="Media",'Administrativo '!#REF!="Leve"),CONCATENATE("R8C",'Administrativo '!#REF!),"")</f>
        <v>#REF!</v>
      </c>
      <c r="K33" s="58" t="e">
        <f>IF(AND('Administrativo '!#REF!="Media",'Administrativo '!#REF!="Leve"),CONCATENATE("R8C",'Administrativo '!#REF!),"")</f>
        <v>#REF!</v>
      </c>
      <c r="L33" s="58" t="e">
        <f>IF(AND('Administrativo '!#REF!="Media",'Administrativo '!#REF!="Leve"),CONCATENATE("R8C",'Administrativo '!#REF!),"")</f>
        <v>#REF!</v>
      </c>
      <c r="M33" s="58" t="e">
        <f>IF(AND('Administrativo '!#REF!="Media",'Administrativo '!#REF!="Leve"),CONCATENATE("R8C",'Administrativo '!#REF!),"")</f>
        <v>#REF!</v>
      </c>
      <c r="N33" s="58" t="e">
        <f>IF(AND('Administrativo '!#REF!="Media",'Administrativo '!#REF!="Leve"),CONCATENATE("R8C",'Administrativo '!#REF!),"")</f>
        <v>#REF!</v>
      </c>
      <c r="O33" s="59" t="e">
        <f>IF(AND('Administrativo '!#REF!="Media",'Administrativo '!#REF!="Leve"),CONCATENATE("R8C",'Administrativo '!#REF!),"")</f>
        <v>#REF!</v>
      </c>
      <c r="P33" s="57" t="e">
        <f>IF(AND('Administrativo '!#REF!="Media",'Administrativo '!#REF!="Menor"),CONCATENATE("R8C",'Administrativo '!#REF!),"")</f>
        <v>#REF!</v>
      </c>
      <c r="Q33" s="58" t="e">
        <f>IF(AND('Administrativo '!#REF!="Media",'Administrativo '!#REF!="Menor"),CONCATENATE("R8C",'Administrativo '!#REF!),"")</f>
        <v>#REF!</v>
      </c>
      <c r="R33" s="58" t="e">
        <f>IF(AND('Administrativo '!#REF!="Media",'Administrativo '!#REF!="Menor"),CONCATENATE("R8C",'Administrativo '!#REF!),"")</f>
        <v>#REF!</v>
      </c>
      <c r="S33" s="58" t="e">
        <f>IF(AND('Administrativo '!#REF!="Media",'Administrativo '!#REF!="Menor"),CONCATENATE("R8C",'Administrativo '!#REF!),"")</f>
        <v>#REF!</v>
      </c>
      <c r="T33" s="58" t="e">
        <f>IF(AND('Administrativo '!#REF!="Media",'Administrativo '!#REF!="Menor"),CONCATENATE("R8C",'Administrativo '!#REF!),"")</f>
        <v>#REF!</v>
      </c>
      <c r="U33" s="59" t="e">
        <f>IF(AND('Administrativo '!#REF!="Media",'Administrativo '!#REF!="Menor"),CONCATENATE("R8C",'Administrativo '!#REF!),"")</f>
        <v>#REF!</v>
      </c>
      <c r="V33" s="57" t="e">
        <f>IF(AND('Administrativo '!#REF!="Media",'Administrativo '!#REF!="Moderado"),CONCATENATE("R8C",'Administrativo '!#REF!),"")</f>
        <v>#REF!</v>
      </c>
      <c r="W33" s="58" t="e">
        <f>IF(AND('Administrativo '!#REF!="Media",'Administrativo '!#REF!="Moderado"),CONCATENATE("R8C",'Administrativo '!#REF!),"")</f>
        <v>#REF!</v>
      </c>
      <c r="X33" s="58" t="e">
        <f>IF(AND('Administrativo '!#REF!="Media",'Administrativo '!#REF!="Moderado"),CONCATENATE("R8C",'Administrativo '!#REF!),"")</f>
        <v>#REF!</v>
      </c>
      <c r="Y33" s="58" t="e">
        <f>IF(AND('Administrativo '!#REF!="Media",'Administrativo '!#REF!="Moderado"),CONCATENATE("R8C",'Administrativo '!#REF!),"")</f>
        <v>#REF!</v>
      </c>
      <c r="Z33" s="58" t="e">
        <f>IF(AND('Administrativo '!#REF!="Media",'Administrativo '!#REF!="Moderado"),CONCATENATE("R8C",'Administrativo '!#REF!),"")</f>
        <v>#REF!</v>
      </c>
      <c r="AA33" s="59" t="e">
        <f>IF(AND('Administrativo '!#REF!="Media",'Administrativo '!#REF!="Moderado"),CONCATENATE("R8C",'Administrativo '!#REF!),"")</f>
        <v>#REF!</v>
      </c>
      <c r="AB33" s="42" t="e">
        <f>IF(AND('Administrativo '!#REF!="Media",'Administrativo '!#REF!="Mayor"),CONCATENATE("R8C",'Administrativo '!#REF!),"")</f>
        <v>#REF!</v>
      </c>
      <c r="AC33" s="43" t="e">
        <f>IF(AND('Administrativo '!#REF!="Media",'Administrativo '!#REF!="Mayor"),CONCATENATE("R8C",'Administrativo '!#REF!),"")</f>
        <v>#REF!</v>
      </c>
      <c r="AD33" s="43" t="e">
        <f>IF(AND('Administrativo '!#REF!="Media",'Administrativo '!#REF!="Mayor"),CONCATENATE("R8C",'Administrativo '!#REF!),"")</f>
        <v>#REF!</v>
      </c>
      <c r="AE33" s="43" t="e">
        <f>IF(AND('Administrativo '!#REF!="Media",'Administrativo '!#REF!="Mayor"),CONCATENATE("R8C",'Administrativo '!#REF!),"")</f>
        <v>#REF!</v>
      </c>
      <c r="AF33" s="43" t="e">
        <f>IF(AND('Administrativo '!#REF!="Media",'Administrativo '!#REF!="Mayor"),CONCATENATE("R8C",'Administrativo '!#REF!),"")</f>
        <v>#REF!</v>
      </c>
      <c r="AG33" s="44" t="e">
        <f>IF(AND('Administrativo '!#REF!="Media",'Administrativo '!#REF!="Mayor"),CONCATENATE("R8C",'Administrativo '!#REF!),"")</f>
        <v>#REF!</v>
      </c>
      <c r="AH33" s="45" t="e">
        <f>IF(AND('Administrativo '!#REF!="Media",'Administrativo '!#REF!="Catastrófico"),CONCATENATE("R8C",'Administrativo '!#REF!),"")</f>
        <v>#REF!</v>
      </c>
      <c r="AI33" s="46" t="e">
        <f>IF(AND('Administrativo '!#REF!="Media",'Administrativo '!#REF!="Catastrófico"),CONCATENATE("R8C",'Administrativo '!#REF!),"")</f>
        <v>#REF!</v>
      </c>
      <c r="AJ33" s="46" t="e">
        <f>IF(AND('Administrativo '!#REF!="Media",'Administrativo '!#REF!="Catastrófico"),CONCATENATE("R8C",'Administrativo '!#REF!),"")</f>
        <v>#REF!</v>
      </c>
      <c r="AK33" s="46" t="e">
        <f>IF(AND('Administrativo '!#REF!="Media",'Administrativo '!#REF!="Catastrófico"),CONCATENATE("R8C",'Administrativo '!#REF!),"")</f>
        <v>#REF!</v>
      </c>
      <c r="AL33" s="46" t="e">
        <f>IF(AND('Administrativo '!#REF!="Media",'Administrativo '!#REF!="Catastrófico"),CONCATENATE("R8C",'Administrativo '!#REF!),"")</f>
        <v>#REF!</v>
      </c>
      <c r="AM33" s="47" t="e">
        <f>IF(AND('Administrativo '!#REF!="Media",'Administrativo '!#REF!="Catastrófico"),CONCATENATE("R8C",'Administrativo '!#REF!),"")</f>
        <v>#REF!</v>
      </c>
      <c r="AN33" s="73"/>
      <c r="AO33" s="854"/>
      <c r="AP33" s="855"/>
      <c r="AQ33" s="855"/>
      <c r="AR33" s="855"/>
      <c r="AS33" s="855"/>
      <c r="AT33" s="856"/>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row>
    <row r="34" spans="1:80" ht="15" customHeight="1" x14ac:dyDescent="0.25">
      <c r="A34" s="73"/>
      <c r="B34" s="773"/>
      <c r="C34" s="773"/>
      <c r="D34" s="774"/>
      <c r="E34" s="814"/>
      <c r="F34" s="815"/>
      <c r="G34" s="815"/>
      <c r="H34" s="815"/>
      <c r="I34" s="816"/>
      <c r="J34" s="57" t="e">
        <f>IF(AND('Administrativo '!#REF!="Media",'Administrativo '!#REF!="Leve"),CONCATENATE("R9C",'Administrativo '!#REF!),"")</f>
        <v>#REF!</v>
      </c>
      <c r="K34" s="58" t="e">
        <f>IF(AND('Administrativo '!#REF!="Media",'Administrativo '!#REF!="Leve"),CONCATENATE("R9C",'Administrativo '!#REF!),"")</f>
        <v>#REF!</v>
      </c>
      <c r="L34" s="58" t="e">
        <f>IF(AND('Administrativo '!#REF!="Media",'Administrativo '!#REF!="Leve"),CONCATENATE("R9C",'Administrativo '!#REF!),"")</f>
        <v>#REF!</v>
      </c>
      <c r="M34" s="58" t="e">
        <f>IF(AND('Administrativo '!#REF!="Media",'Administrativo '!#REF!="Leve"),CONCATENATE("R9C",'Administrativo '!#REF!),"")</f>
        <v>#REF!</v>
      </c>
      <c r="N34" s="58" t="e">
        <f>IF(AND('Administrativo '!#REF!="Media",'Administrativo '!#REF!="Leve"),CONCATENATE("R9C",'Administrativo '!#REF!),"")</f>
        <v>#REF!</v>
      </c>
      <c r="O34" s="59" t="e">
        <f>IF(AND('Administrativo '!#REF!="Media",'Administrativo '!#REF!="Leve"),CONCATENATE("R9C",'Administrativo '!#REF!),"")</f>
        <v>#REF!</v>
      </c>
      <c r="P34" s="57" t="e">
        <f>IF(AND('Administrativo '!#REF!="Media",'Administrativo '!#REF!="Menor"),CONCATENATE("R9C",'Administrativo '!#REF!),"")</f>
        <v>#REF!</v>
      </c>
      <c r="Q34" s="58" t="e">
        <f>IF(AND('Administrativo '!#REF!="Media",'Administrativo '!#REF!="Menor"),CONCATENATE("R9C",'Administrativo '!#REF!),"")</f>
        <v>#REF!</v>
      </c>
      <c r="R34" s="58" t="e">
        <f>IF(AND('Administrativo '!#REF!="Media",'Administrativo '!#REF!="Menor"),CONCATENATE("R9C",'Administrativo '!#REF!),"")</f>
        <v>#REF!</v>
      </c>
      <c r="S34" s="58" t="e">
        <f>IF(AND('Administrativo '!#REF!="Media",'Administrativo '!#REF!="Menor"),CONCATENATE("R9C",'Administrativo '!#REF!),"")</f>
        <v>#REF!</v>
      </c>
      <c r="T34" s="58" t="e">
        <f>IF(AND('Administrativo '!#REF!="Media",'Administrativo '!#REF!="Menor"),CONCATENATE("R9C",'Administrativo '!#REF!),"")</f>
        <v>#REF!</v>
      </c>
      <c r="U34" s="59" t="e">
        <f>IF(AND('Administrativo '!#REF!="Media",'Administrativo '!#REF!="Menor"),CONCATENATE("R9C",'Administrativo '!#REF!),"")</f>
        <v>#REF!</v>
      </c>
      <c r="V34" s="57" t="e">
        <f>IF(AND('Administrativo '!#REF!="Media",'Administrativo '!#REF!="Moderado"),CONCATENATE("R9C",'Administrativo '!#REF!),"")</f>
        <v>#REF!</v>
      </c>
      <c r="W34" s="58" t="e">
        <f>IF(AND('Administrativo '!#REF!="Media",'Administrativo '!#REF!="Moderado"),CONCATENATE("R9C",'Administrativo '!#REF!),"")</f>
        <v>#REF!</v>
      </c>
      <c r="X34" s="58" t="e">
        <f>IF(AND('Administrativo '!#REF!="Media",'Administrativo '!#REF!="Moderado"),CONCATENATE("R9C",'Administrativo '!#REF!),"")</f>
        <v>#REF!</v>
      </c>
      <c r="Y34" s="58" t="e">
        <f>IF(AND('Administrativo '!#REF!="Media",'Administrativo '!#REF!="Moderado"),CONCATENATE("R9C",'Administrativo '!#REF!),"")</f>
        <v>#REF!</v>
      </c>
      <c r="Z34" s="58" t="e">
        <f>IF(AND('Administrativo '!#REF!="Media",'Administrativo '!#REF!="Moderado"),CONCATENATE("R9C",'Administrativo '!#REF!),"")</f>
        <v>#REF!</v>
      </c>
      <c r="AA34" s="59" t="e">
        <f>IF(AND('Administrativo '!#REF!="Media",'Administrativo '!#REF!="Moderado"),CONCATENATE("R9C",'Administrativo '!#REF!),"")</f>
        <v>#REF!</v>
      </c>
      <c r="AB34" s="42" t="e">
        <f>IF(AND('Administrativo '!#REF!="Media",'Administrativo '!#REF!="Mayor"),CONCATENATE("R9C",'Administrativo '!#REF!),"")</f>
        <v>#REF!</v>
      </c>
      <c r="AC34" s="43" t="e">
        <f>IF(AND('Administrativo '!#REF!="Media",'Administrativo '!#REF!="Mayor"),CONCATENATE("R9C",'Administrativo '!#REF!),"")</f>
        <v>#REF!</v>
      </c>
      <c r="AD34" s="43" t="e">
        <f>IF(AND('Administrativo '!#REF!="Media",'Administrativo '!#REF!="Mayor"),CONCATENATE("R9C",'Administrativo '!#REF!),"")</f>
        <v>#REF!</v>
      </c>
      <c r="AE34" s="43" t="e">
        <f>IF(AND('Administrativo '!#REF!="Media",'Administrativo '!#REF!="Mayor"),CONCATENATE("R9C",'Administrativo '!#REF!),"")</f>
        <v>#REF!</v>
      </c>
      <c r="AF34" s="43" t="e">
        <f>IF(AND('Administrativo '!#REF!="Media",'Administrativo '!#REF!="Mayor"),CONCATENATE("R9C",'Administrativo '!#REF!),"")</f>
        <v>#REF!</v>
      </c>
      <c r="AG34" s="44" t="e">
        <f>IF(AND('Administrativo '!#REF!="Media",'Administrativo '!#REF!="Mayor"),CONCATENATE("R9C",'Administrativo '!#REF!),"")</f>
        <v>#REF!</v>
      </c>
      <c r="AH34" s="45" t="e">
        <f>IF(AND('Administrativo '!#REF!="Media",'Administrativo '!#REF!="Catastrófico"),CONCATENATE("R9C",'Administrativo '!#REF!),"")</f>
        <v>#REF!</v>
      </c>
      <c r="AI34" s="46" t="e">
        <f>IF(AND('Administrativo '!#REF!="Media",'Administrativo '!#REF!="Catastrófico"),CONCATENATE("R9C",'Administrativo '!#REF!),"")</f>
        <v>#REF!</v>
      </c>
      <c r="AJ34" s="46" t="e">
        <f>IF(AND('Administrativo '!#REF!="Media",'Administrativo '!#REF!="Catastrófico"),CONCATENATE("R9C",'Administrativo '!#REF!),"")</f>
        <v>#REF!</v>
      </c>
      <c r="AK34" s="46" t="e">
        <f>IF(AND('Administrativo '!#REF!="Media",'Administrativo '!#REF!="Catastrófico"),CONCATENATE("R9C",'Administrativo '!#REF!),"")</f>
        <v>#REF!</v>
      </c>
      <c r="AL34" s="46" t="e">
        <f>IF(AND('Administrativo '!#REF!="Media",'Administrativo '!#REF!="Catastrófico"),CONCATENATE("R9C",'Administrativo '!#REF!),"")</f>
        <v>#REF!</v>
      </c>
      <c r="AM34" s="47" t="e">
        <f>IF(AND('Administrativo '!#REF!="Media",'Administrativo '!#REF!="Catastrófico"),CONCATENATE("R9C",'Administrativo '!#REF!),"")</f>
        <v>#REF!</v>
      </c>
      <c r="AN34" s="73"/>
      <c r="AO34" s="854"/>
      <c r="AP34" s="855"/>
      <c r="AQ34" s="855"/>
      <c r="AR34" s="855"/>
      <c r="AS34" s="855"/>
      <c r="AT34" s="856"/>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row>
    <row r="35" spans="1:80" ht="15.75" customHeight="1" thickBot="1" x14ac:dyDescent="0.3">
      <c r="A35" s="73"/>
      <c r="B35" s="773"/>
      <c r="C35" s="773"/>
      <c r="D35" s="774"/>
      <c r="E35" s="817"/>
      <c r="F35" s="818"/>
      <c r="G35" s="818"/>
      <c r="H35" s="818"/>
      <c r="I35" s="819"/>
      <c r="J35" s="57" t="e">
        <f>IF(AND('Administrativo '!#REF!="Media",'Administrativo '!#REF!="Leve"),CONCATENATE("R10C",'Administrativo '!#REF!),"")</f>
        <v>#REF!</v>
      </c>
      <c r="K35" s="58" t="e">
        <f>IF(AND('Administrativo '!#REF!="Media",'Administrativo '!#REF!="Leve"),CONCATENATE("R10C",'Administrativo '!#REF!),"")</f>
        <v>#REF!</v>
      </c>
      <c r="L35" s="58" t="e">
        <f>IF(AND('Administrativo '!#REF!="Media",'Administrativo '!#REF!="Leve"),CONCATENATE("R10C",'Administrativo '!#REF!),"")</f>
        <v>#REF!</v>
      </c>
      <c r="M35" s="58" t="e">
        <f>IF(AND('Administrativo '!#REF!="Media",'Administrativo '!#REF!="Leve"),CONCATENATE("R10C",'Administrativo '!#REF!),"")</f>
        <v>#REF!</v>
      </c>
      <c r="N35" s="58" t="e">
        <f>IF(AND('Administrativo '!#REF!="Media",'Administrativo '!#REF!="Leve"),CONCATENATE("R10C",'Administrativo '!#REF!),"")</f>
        <v>#REF!</v>
      </c>
      <c r="O35" s="59" t="e">
        <f>IF(AND('Administrativo '!#REF!="Media",'Administrativo '!#REF!="Leve"),CONCATENATE("R10C",'Administrativo '!#REF!),"")</f>
        <v>#REF!</v>
      </c>
      <c r="P35" s="57" t="e">
        <f>IF(AND('Administrativo '!#REF!="Media",'Administrativo '!#REF!="Menor"),CONCATENATE("R10C",'Administrativo '!#REF!),"")</f>
        <v>#REF!</v>
      </c>
      <c r="Q35" s="58" t="e">
        <f>IF(AND('Administrativo '!#REF!="Media",'Administrativo '!#REF!="Menor"),CONCATENATE("R10C",'Administrativo '!#REF!),"")</f>
        <v>#REF!</v>
      </c>
      <c r="R35" s="58" t="e">
        <f>IF(AND('Administrativo '!#REF!="Media",'Administrativo '!#REF!="Menor"),CONCATENATE("R10C",'Administrativo '!#REF!),"")</f>
        <v>#REF!</v>
      </c>
      <c r="S35" s="58" t="e">
        <f>IF(AND('Administrativo '!#REF!="Media",'Administrativo '!#REF!="Menor"),CONCATENATE("R10C",'Administrativo '!#REF!),"")</f>
        <v>#REF!</v>
      </c>
      <c r="T35" s="58" t="e">
        <f>IF(AND('Administrativo '!#REF!="Media",'Administrativo '!#REF!="Menor"),CONCATENATE("R10C",'Administrativo '!#REF!),"")</f>
        <v>#REF!</v>
      </c>
      <c r="U35" s="59" t="e">
        <f>IF(AND('Administrativo '!#REF!="Media",'Administrativo '!#REF!="Menor"),CONCATENATE("R10C",'Administrativo '!#REF!),"")</f>
        <v>#REF!</v>
      </c>
      <c r="V35" s="57" t="e">
        <f>IF(AND('Administrativo '!#REF!="Media",'Administrativo '!#REF!="Moderado"),CONCATENATE("R10C",'Administrativo '!#REF!),"")</f>
        <v>#REF!</v>
      </c>
      <c r="W35" s="58" t="e">
        <f>IF(AND('Administrativo '!#REF!="Media",'Administrativo '!#REF!="Moderado"),CONCATENATE("R10C",'Administrativo '!#REF!),"")</f>
        <v>#REF!</v>
      </c>
      <c r="X35" s="58" t="e">
        <f>IF(AND('Administrativo '!#REF!="Media",'Administrativo '!#REF!="Moderado"),CONCATENATE("R10C",'Administrativo '!#REF!),"")</f>
        <v>#REF!</v>
      </c>
      <c r="Y35" s="58" t="e">
        <f>IF(AND('Administrativo '!#REF!="Media",'Administrativo '!#REF!="Moderado"),CONCATENATE("R10C",'Administrativo '!#REF!),"")</f>
        <v>#REF!</v>
      </c>
      <c r="Z35" s="58" t="e">
        <f>IF(AND('Administrativo '!#REF!="Media",'Administrativo '!#REF!="Moderado"),CONCATENATE("R10C",'Administrativo '!#REF!),"")</f>
        <v>#REF!</v>
      </c>
      <c r="AA35" s="59" t="e">
        <f>IF(AND('Administrativo '!#REF!="Media",'Administrativo '!#REF!="Moderado"),CONCATENATE("R10C",'Administrativo '!#REF!),"")</f>
        <v>#REF!</v>
      </c>
      <c r="AB35" s="48" t="e">
        <f>IF(AND('Administrativo '!#REF!="Media",'Administrativo '!#REF!="Mayor"),CONCATENATE("R10C",'Administrativo '!#REF!),"")</f>
        <v>#REF!</v>
      </c>
      <c r="AC35" s="49" t="e">
        <f>IF(AND('Administrativo '!#REF!="Media",'Administrativo '!#REF!="Mayor"),CONCATENATE("R10C",'Administrativo '!#REF!),"")</f>
        <v>#REF!</v>
      </c>
      <c r="AD35" s="49" t="e">
        <f>IF(AND('Administrativo '!#REF!="Media",'Administrativo '!#REF!="Mayor"),CONCATENATE("R10C",'Administrativo '!#REF!),"")</f>
        <v>#REF!</v>
      </c>
      <c r="AE35" s="49" t="e">
        <f>IF(AND('Administrativo '!#REF!="Media",'Administrativo '!#REF!="Mayor"),CONCATENATE("R10C",'Administrativo '!#REF!),"")</f>
        <v>#REF!</v>
      </c>
      <c r="AF35" s="49" t="e">
        <f>IF(AND('Administrativo '!#REF!="Media",'Administrativo '!#REF!="Mayor"),CONCATENATE("R10C",'Administrativo '!#REF!),"")</f>
        <v>#REF!</v>
      </c>
      <c r="AG35" s="50" t="e">
        <f>IF(AND('Administrativo '!#REF!="Media",'Administrativo '!#REF!="Mayor"),CONCATENATE("R10C",'Administrativo '!#REF!),"")</f>
        <v>#REF!</v>
      </c>
      <c r="AH35" s="51" t="e">
        <f>IF(AND('Administrativo '!#REF!="Media",'Administrativo '!#REF!="Catastrófico"),CONCATENATE("R10C",'Administrativo '!#REF!),"")</f>
        <v>#REF!</v>
      </c>
      <c r="AI35" s="52" t="e">
        <f>IF(AND('Administrativo '!#REF!="Media",'Administrativo '!#REF!="Catastrófico"),CONCATENATE("R10C",'Administrativo '!#REF!),"")</f>
        <v>#REF!</v>
      </c>
      <c r="AJ35" s="52" t="e">
        <f>IF(AND('Administrativo '!#REF!="Media",'Administrativo '!#REF!="Catastrófico"),CONCATENATE("R10C",'Administrativo '!#REF!),"")</f>
        <v>#REF!</v>
      </c>
      <c r="AK35" s="52" t="e">
        <f>IF(AND('Administrativo '!#REF!="Media",'Administrativo '!#REF!="Catastrófico"),CONCATENATE("R10C",'Administrativo '!#REF!),"")</f>
        <v>#REF!</v>
      </c>
      <c r="AL35" s="52" t="e">
        <f>IF(AND('Administrativo '!#REF!="Media",'Administrativo '!#REF!="Catastrófico"),CONCATENATE("R10C",'Administrativo '!#REF!),"")</f>
        <v>#REF!</v>
      </c>
      <c r="AM35" s="53" t="e">
        <f>IF(AND('Administrativo '!#REF!="Media",'Administrativo '!#REF!="Catastrófico"),CONCATENATE("R10C",'Administrativo '!#REF!),"")</f>
        <v>#REF!</v>
      </c>
      <c r="AN35" s="73"/>
      <c r="AO35" s="857"/>
      <c r="AP35" s="858"/>
      <c r="AQ35" s="858"/>
      <c r="AR35" s="858"/>
      <c r="AS35" s="858"/>
      <c r="AT35" s="859"/>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row>
    <row r="36" spans="1:80" ht="15" customHeight="1" x14ac:dyDescent="0.25">
      <c r="A36" s="73"/>
      <c r="B36" s="773"/>
      <c r="C36" s="773"/>
      <c r="D36" s="774"/>
      <c r="E36" s="811" t="s">
        <v>115</v>
      </c>
      <c r="F36" s="812"/>
      <c r="G36" s="812"/>
      <c r="H36" s="812"/>
      <c r="I36" s="812"/>
      <c r="J36" s="63" t="str">
        <f>IF(AND('Administrativo '!$Y$10="Baja",'Administrativo '!$AA$10="Leve"),CONCATENATE("R1C",'Administrativo '!$O$10),"")</f>
        <v/>
      </c>
      <c r="K36" s="64" t="str">
        <f>IF(AND('Administrativo '!$Y$11="Baja",'Administrativo '!$AA$11="Leve"),CONCATENATE("R1C",'Administrativo '!$O$11),"")</f>
        <v/>
      </c>
      <c r="L36" s="64" t="e">
        <f>IF(AND('Administrativo '!#REF!="Baja",'Administrativo '!#REF!="Leve"),CONCATENATE("R1C",'Administrativo '!#REF!),"")</f>
        <v>#REF!</v>
      </c>
      <c r="M36" s="64" t="e">
        <f>IF(AND('Administrativo '!#REF!="Baja",'Administrativo '!#REF!="Leve"),CONCATENATE("R1C",'Administrativo '!#REF!),"")</f>
        <v>#REF!</v>
      </c>
      <c r="N36" s="64" t="e">
        <f>IF(AND('Administrativo '!#REF!="Baja",'Administrativo '!#REF!="Leve"),CONCATENATE("R1C",'Administrativo '!#REF!),"")</f>
        <v>#REF!</v>
      </c>
      <c r="O36" s="65" t="e">
        <f>IF(AND('Administrativo '!#REF!="Baja",'Administrativo '!#REF!="Leve"),CONCATENATE("R1C",'Administrativo '!#REF!),"")</f>
        <v>#REF!</v>
      </c>
      <c r="P36" s="54" t="str">
        <f>IF(AND('Administrativo '!$Y$10="Baja",'Administrativo '!$AA$10="Menor"),CONCATENATE("R1C",'Administrativo '!$O$10),"")</f>
        <v/>
      </c>
      <c r="Q36" s="55" t="str">
        <f>IF(AND('Administrativo '!$Y$11="Baja",'Administrativo '!$AA$11="Menor"),CONCATENATE("R1C",'Administrativo '!$O$11),"")</f>
        <v>R1C2</v>
      </c>
      <c r="R36" s="55" t="e">
        <f>IF(AND('Administrativo '!#REF!="Baja",'Administrativo '!#REF!="Menor"),CONCATENATE("R1C",'Administrativo '!#REF!),"")</f>
        <v>#REF!</v>
      </c>
      <c r="S36" s="55" t="e">
        <f>IF(AND('Administrativo '!#REF!="Baja",'Administrativo '!#REF!="Menor"),CONCATENATE("R1C",'Administrativo '!#REF!),"")</f>
        <v>#REF!</v>
      </c>
      <c r="T36" s="55" t="e">
        <f>IF(AND('Administrativo '!#REF!="Baja",'Administrativo '!#REF!="Menor"),CONCATENATE("R1C",'Administrativo '!#REF!),"")</f>
        <v>#REF!</v>
      </c>
      <c r="U36" s="56" t="e">
        <f>IF(AND('Administrativo '!#REF!="Baja",'Administrativo '!#REF!="Menor"),CONCATENATE("R1C",'Administrativo '!#REF!),"")</f>
        <v>#REF!</v>
      </c>
      <c r="V36" s="54" t="str">
        <f>IF(AND('Administrativo '!$Y$10="Baja",'Administrativo '!$AA$10="Moderado"),CONCATENATE("R1C",'Administrativo '!$O$10),"")</f>
        <v/>
      </c>
      <c r="W36" s="55" t="str">
        <f>IF(AND('Administrativo '!$Y$11="Baja",'Administrativo '!$AA$11="Moderado"),CONCATENATE("R1C",'Administrativo '!$O$11),"")</f>
        <v/>
      </c>
      <c r="X36" s="55" t="e">
        <f>IF(AND('Administrativo '!#REF!="Baja",'Administrativo '!#REF!="Moderado"),CONCATENATE("R1C",'Administrativo '!#REF!),"")</f>
        <v>#REF!</v>
      </c>
      <c r="Y36" s="55" t="e">
        <f>IF(AND('Administrativo '!#REF!="Baja",'Administrativo '!#REF!="Moderado"),CONCATENATE("R1C",'Administrativo '!#REF!),"")</f>
        <v>#REF!</v>
      </c>
      <c r="Z36" s="55" t="e">
        <f>IF(AND('Administrativo '!#REF!="Baja",'Administrativo '!#REF!="Moderado"),CONCATENATE("R1C",'Administrativo '!#REF!),"")</f>
        <v>#REF!</v>
      </c>
      <c r="AA36" s="56" t="e">
        <f>IF(AND('Administrativo '!#REF!="Baja",'Administrativo '!#REF!="Moderado"),CONCATENATE("R1C",'Administrativo '!#REF!),"")</f>
        <v>#REF!</v>
      </c>
      <c r="AB36" s="36" t="str">
        <f>IF(AND('Administrativo '!$Y$10="Baja",'Administrativo '!$AA$10="Mayor"),CONCATENATE("R1C",'Administrativo '!$O$10),"")</f>
        <v/>
      </c>
      <c r="AC36" s="37" t="str">
        <f>IF(AND('Administrativo '!$Y$11="Baja",'Administrativo '!$AA$11="Mayor"),CONCATENATE("R1C",'Administrativo '!$O$11),"")</f>
        <v/>
      </c>
      <c r="AD36" s="37" t="e">
        <f>IF(AND('Administrativo '!#REF!="Baja",'Administrativo '!#REF!="Mayor"),CONCATENATE("R1C",'Administrativo '!#REF!),"")</f>
        <v>#REF!</v>
      </c>
      <c r="AE36" s="37" t="e">
        <f>IF(AND('Administrativo '!#REF!="Baja",'Administrativo '!#REF!="Mayor"),CONCATENATE("R1C",'Administrativo '!#REF!),"")</f>
        <v>#REF!</v>
      </c>
      <c r="AF36" s="37" t="e">
        <f>IF(AND('Administrativo '!#REF!="Baja",'Administrativo '!#REF!="Mayor"),CONCATENATE("R1C",'Administrativo '!#REF!),"")</f>
        <v>#REF!</v>
      </c>
      <c r="AG36" s="38" t="e">
        <f>IF(AND('Administrativo '!#REF!="Baja",'Administrativo '!#REF!="Mayor"),CONCATENATE("R1C",'Administrativo '!#REF!),"")</f>
        <v>#REF!</v>
      </c>
      <c r="AH36" s="39" t="str">
        <f>IF(AND('Administrativo '!$Y$10="Baja",'Administrativo '!$AA$10="Catastrófico"),CONCATENATE("R1C",'Administrativo '!$O$10),"")</f>
        <v/>
      </c>
      <c r="AI36" s="40" t="str">
        <f>IF(AND('Administrativo '!$Y$11="Baja",'Administrativo '!$AA$11="Catastrófico"),CONCATENATE("R1C",'Administrativo '!$O$11),"")</f>
        <v/>
      </c>
      <c r="AJ36" s="40" t="e">
        <f>IF(AND('Administrativo '!#REF!="Baja",'Administrativo '!#REF!="Catastrófico"),CONCATENATE("R1C",'Administrativo '!#REF!),"")</f>
        <v>#REF!</v>
      </c>
      <c r="AK36" s="40" t="e">
        <f>IF(AND('Administrativo '!#REF!="Baja",'Administrativo '!#REF!="Catastrófico"),CONCATENATE("R1C",'Administrativo '!#REF!),"")</f>
        <v>#REF!</v>
      </c>
      <c r="AL36" s="40" t="e">
        <f>IF(AND('Administrativo '!#REF!="Baja",'Administrativo '!#REF!="Catastrófico"),CONCATENATE("R1C",'Administrativo '!#REF!),"")</f>
        <v>#REF!</v>
      </c>
      <c r="AM36" s="41" t="e">
        <f>IF(AND('Administrativo '!#REF!="Baja",'Administrativo '!#REF!="Catastrófico"),CONCATENATE("R1C",'Administrativo '!#REF!),"")</f>
        <v>#REF!</v>
      </c>
      <c r="AN36" s="73"/>
      <c r="AO36" s="842" t="s">
        <v>116</v>
      </c>
      <c r="AP36" s="843"/>
      <c r="AQ36" s="843"/>
      <c r="AR36" s="843"/>
      <c r="AS36" s="843"/>
      <c r="AT36" s="844"/>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row>
    <row r="37" spans="1:80" ht="15" customHeight="1" x14ac:dyDescent="0.25">
      <c r="A37" s="73"/>
      <c r="B37" s="773"/>
      <c r="C37" s="773"/>
      <c r="D37" s="774"/>
      <c r="E37" s="830"/>
      <c r="F37" s="815"/>
      <c r="G37" s="815"/>
      <c r="H37" s="815"/>
      <c r="I37" s="815"/>
      <c r="J37" s="66" t="e">
        <f>IF(AND('Administrativo '!#REF!="Baja",'Administrativo '!#REF!="Leve"),CONCATENATE("R2C",'Administrativo '!#REF!),"")</f>
        <v>#REF!</v>
      </c>
      <c r="K37" s="67" t="e">
        <f>IF(AND('Administrativo '!#REF!="Baja",'Administrativo '!#REF!="Leve"),CONCATENATE("R2C",'Administrativo '!#REF!),"")</f>
        <v>#REF!</v>
      </c>
      <c r="L37" s="67" t="e">
        <f>IF(AND('Administrativo '!#REF!="Baja",'Administrativo '!#REF!="Leve"),CONCATENATE("R2C",'Administrativo '!#REF!),"")</f>
        <v>#REF!</v>
      </c>
      <c r="M37" s="67" t="e">
        <f>IF(AND('Administrativo '!#REF!="Baja",'Administrativo '!#REF!="Leve"),CONCATENATE("R2C",'Administrativo '!#REF!),"")</f>
        <v>#REF!</v>
      </c>
      <c r="N37" s="67" t="e">
        <f>IF(AND('Administrativo '!#REF!="Baja",'Administrativo '!#REF!="Leve"),CONCATENATE("R2C",'Administrativo '!#REF!),"")</f>
        <v>#REF!</v>
      </c>
      <c r="O37" s="68" t="e">
        <f>IF(AND('Administrativo '!#REF!="Baja",'Administrativo '!#REF!="Leve"),CONCATENATE("R2C",'Administrativo '!#REF!),"")</f>
        <v>#REF!</v>
      </c>
      <c r="P37" s="57" t="e">
        <f>IF(AND('Administrativo '!#REF!="Baja",'Administrativo '!#REF!="Menor"),CONCATENATE("R2C",'Administrativo '!#REF!),"")</f>
        <v>#REF!</v>
      </c>
      <c r="Q37" s="58" t="e">
        <f>IF(AND('Administrativo '!#REF!="Baja",'Administrativo '!#REF!="Menor"),CONCATENATE("R2C",'Administrativo '!#REF!),"")</f>
        <v>#REF!</v>
      </c>
      <c r="R37" s="58" t="e">
        <f>IF(AND('Administrativo '!#REF!="Baja",'Administrativo '!#REF!="Menor"),CONCATENATE("R2C",'Administrativo '!#REF!),"")</f>
        <v>#REF!</v>
      </c>
      <c r="S37" s="58" t="e">
        <f>IF(AND('Administrativo '!#REF!="Baja",'Administrativo '!#REF!="Menor"),CONCATENATE("R2C",'Administrativo '!#REF!),"")</f>
        <v>#REF!</v>
      </c>
      <c r="T37" s="58" t="e">
        <f>IF(AND('Administrativo '!#REF!="Baja",'Administrativo '!#REF!="Menor"),CONCATENATE("R2C",'Administrativo '!#REF!),"")</f>
        <v>#REF!</v>
      </c>
      <c r="U37" s="59" t="e">
        <f>IF(AND('Administrativo '!#REF!="Baja",'Administrativo '!#REF!="Menor"),CONCATENATE("R2C",'Administrativo '!#REF!),"")</f>
        <v>#REF!</v>
      </c>
      <c r="V37" s="57" t="e">
        <f>IF(AND('Administrativo '!#REF!="Baja",'Administrativo '!#REF!="Moderado"),CONCATENATE("R2C",'Administrativo '!#REF!),"")</f>
        <v>#REF!</v>
      </c>
      <c r="W37" s="58" t="e">
        <f>IF(AND('Administrativo '!#REF!="Baja",'Administrativo '!#REF!="Moderado"),CONCATENATE("R2C",'Administrativo '!#REF!),"")</f>
        <v>#REF!</v>
      </c>
      <c r="X37" s="58" t="e">
        <f>IF(AND('Administrativo '!#REF!="Baja",'Administrativo '!#REF!="Moderado"),CONCATENATE("R2C",'Administrativo '!#REF!),"")</f>
        <v>#REF!</v>
      </c>
      <c r="Y37" s="58" t="e">
        <f>IF(AND('Administrativo '!#REF!="Baja",'Administrativo '!#REF!="Moderado"),CONCATENATE("R2C",'Administrativo '!#REF!),"")</f>
        <v>#REF!</v>
      </c>
      <c r="Z37" s="58" t="e">
        <f>IF(AND('Administrativo '!#REF!="Baja",'Administrativo '!#REF!="Moderado"),CONCATENATE("R2C",'Administrativo '!#REF!),"")</f>
        <v>#REF!</v>
      </c>
      <c r="AA37" s="59" t="e">
        <f>IF(AND('Administrativo '!#REF!="Baja",'Administrativo '!#REF!="Moderado"),CONCATENATE("R2C",'Administrativo '!#REF!),"")</f>
        <v>#REF!</v>
      </c>
      <c r="AB37" s="42" t="e">
        <f>IF(AND('Administrativo '!#REF!="Baja",'Administrativo '!#REF!="Mayor"),CONCATENATE("R2C",'Administrativo '!#REF!),"")</f>
        <v>#REF!</v>
      </c>
      <c r="AC37" s="43" t="e">
        <f>IF(AND('Administrativo '!#REF!="Baja",'Administrativo '!#REF!="Mayor"),CONCATENATE("R2C",'Administrativo '!#REF!),"")</f>
        <v>#REF!</v>
      </c>
      <c r="AD37" s="43" t="e">
        <f>IF(AND('Administrativo '!#REF!="Baja",'Administrativo '!#REF!="Mayor"),CONCATENATE("R2C",'Administrativo '!#REF!),"")</f>
        <v>#REF!</v>
      </c>
      <c r="AE37" s="43" t="e">
        <f>IF(AND('Administrativo '!#REF!="Baja",'Administrativo '!#REF!="Mayor"),CONCATENATE("R2C",'Administrativo '!#REF!),"")</f>
        <v>#REF!</v>
      </c>
      <c r="AF37" s="43" t="e">
        <f>IF(AND('Administrativo '!#REF!="Baja",'Administrativo '!#REF!="Mayor"),CONCATENATE("R2C",'Administrativo '!#REF!),"")</f>
        <v>#REF!</v>
      </c>
      <c r="AG37" s="44" t="e">
        <f>IF(AND('Administrativo '!#REF!="Baja",'Administrativo '!#REF!="Mayor"),CONCATENATE("R2C",'Administrativo '!#REF!),"")</f>
        <v>#REF!</v>
      </c>
      <c r="AH37" s="45" t="e">
        <f>IF(AND('Administrativo '!#REF!="Baja",'Administrativo '!#REF!="Catastrófico"),CONCATENATE("R2C",'Administrativo '!#REF!),"")</f>
        <v>#REF!</v>
      </c>
      <c r="AI37" s="46" t="e">
        <f>IF(AND('Administrativo '!#REF!="Baja",'Administrativo '!#REF!="Catastrófico"),CONCATENATE("R2C",'Administrativo '!#REF!),"")</f>
        <v>#REF!</v>
      </c>
      <c r="AJ37" s="46" t="e">
        <f>IF(AND('Administrativo '!#REF!="Baja",'Administrativo '!#REF!="Catastrófico"),CONCATENATE("R2C",'Administrativo '!#REF!),"")</f>
        <v>#REF!</v>
      </c>
      <c r="AK37" s="46" t="e">
        <f>IF(AND('Administrativo '!#REF!="Baja",'Administrativo '!#REF!="Catastrófico"),CONCATENATE("R2C",'Administrativo '!#REF!),"")</f>
        <v>#REF!</v>
      </c>
      <c r="AL37" s="46" t="e">
        <f>IF(AND('Administrativo '!#REF!="Baja",'Administrativo '!#REF!="Catastrófico"),CONCATENATE("R2C",'Administrativo '!#REF!),"")</f>
        <v>#REF!</v>
      </c>
      <c r="AM37" s="47" t="e">
        <f>IF(AND('Administrativo '!#REF!="Baja",'Administrativo '!#REF!="Catastrófico"),CONCATENATE("R2C",'Administrativo '!#REF!),"")</f>
        <v>#REF!</v>
      </c>
      <c r="AN37" s="73"/>
      <c r="AO37" s="845"/>
      <c r="AP37" s="846"/>
      <c r="AQ37" s="846"/>
      <c r="AR37" s="846"/>
      <c r="AS37" s="846"/>
      <c r="AT37" s="847"/>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row>
    <row r="38" spans="1:80" ht="15" customHeight="1" x14ac:dyDescent="0.25">
      <c r="A38" s="73"/>
      <c r="B38" s="773"/>
      <c r="C38" s="773"/>
      <c r="D38" s="774"/>
      <c r="E38" s="814"/>
      <c r="F38" s="815"/>
      <c r="G38" s="815"/>
      <c r="H38" s="815"/>
      <c r="I38" s="815"/>
      <c r="J38" s="66" t="e">
        <f>IF(AND('Administrativo '!#REF!="Baja",'Administrativo '!#REF!="Leve"),CONCATENATE("R3C",'Administrativo '!#REF!),"")</f>
        <v>#REF!</v>
      </c>
      <c r="K38" s="67" t="e">
        <f>IF(AND('Administrativo '!#REF!="Baja",'Administrativo '!#REF!="Leve"),CONCATENATE("R3C",'Administrativo '!#REF!),"")</f>
        <v>#REF!</v>
      </c>
      <c r="L38" s="67" t="e">
        <f>IF(AND('Administrativo '!#REF!="Baja",'Administrativo '!#REF!="Leve"),CONCATENATE("R3C",'Administrativo '!#REF!),"")</f>
        <v>#REF!</v>
      </c>
      <c r="M38" s="67" t="e">
        <f>IF(AND('Administrativo '!#REF!="Baja",'Administrativo '!#REF!="Leve"),CONCATENATE("R3C",'Administrativo '!#REF!),"")</f>
        <v>#REF!</v>
      </c>
      <c r="N38" s="67" t="e">
        <f>IF(AND('Administrativo '!#REF!="Baja",'Administrativo '!#REF!="Leve"),CONCATENATE("R3C",'Administrativo '!#REF!),"")</f>
        <v>#REF!</v>
      </c>
      <c r="O38" s="68" t="e">
        <f>IF(AND('Administrativo '!#REF!="Baja",'Administrativo '!#REF!="Leve"),CONCATENATE("R3C",'Administrativo '!#REF!),"")</f>
        <v>#REF!</v>
      </c>
      <c r="P38" s="57" t="e">
        <f>IF(AND('Administrativo '!#REF!="Baja",'Administrativo '!#REF!="Menor"),CONCATENATE("R3C",'Administrativo '!#REF!),"")</f>
        <v>#REF!</v>
      </c>
      <c r="Q38" s="58" t="e">
        <f>IF(AND('Administrativo '!#REF!="Baja",'Administrativo '!#REF!="Menor"),CONCATENATE("R3C",'Administrativo '!#REF!),"")</f>
        <v>#REF!</v>
      </c>
      <c r="R38" s="58" t="e">
        <f>IF(AND('Administrativo '!#REF!="Baja",'Administrativo '!#REF!="Menor"),CONCATENATE("R3C",'Administrativo '!#REF!),"")</f>
        <v>#REF!</v>
      </c>
      <c r="S38" s="58" t="e">
        <f>IF(AND('Administrativo '!#REF!="Baja",'Administrativo '!#REF!="Menor"),CONCATENATE("R3C",'Administrativo '!#REF!),"")</f>
        <v>#REF!</v>
      </c>
      <c r="T38" s="58" t="e">
        <f>IF(AND('Administrativo '!#REF!="Baja",'Administrativo '!#REF!="Menor"),CONCATENATE("R3C",'Administrativo '!#REF!),"")</f>
        <v>#REF!</v>
      </c>
      <c r="U38" s="59" t="e">
        <f>IF(AND('Administrativo '!#REF!="Baja",'Administrativo '!#REF!="Menor"),CONCATENATE("R3C",'Administrativo '!#REF!),"")</f>
        <v>#REF!</v>
      </c>
      <c r="V38" s="57" t="e">
        <f>IF(AND('Administrativo '!#REF!="Baja",'Administrativo '!#REF!="Moderado"),CONCATENATE("R3C",'Administrativo '!#REF!),"")</f>
        <v>#REF!</v>
      </c>
      <c r="W38" s="58" t="e">
        <f>IF(AND('Administrativo '!#REF!="Baja",'Administrativo '!#REF!="Moderado"),CONCATENATE("R3C",'Administrativo '!#REF!),"")</f>
        <v>#REF!</v>
      </c>
      <c r="X38" s="58" t="e">
        <f>IF(AND('Administrativo '!#REF!="Baja",'Administrativo '!#REF!="Moderado"),CONCATENATE("R3C",'Administrativo '!#REF!),"")</f>
        <v>#REF!</v>
      </c>
      <c r="Y38" s="58" t="e">
        <f>IF(AND('Administrativo '!#REF!="Baja",'Administrativo '!#REF!="Moderado"),CONCATENATE("R3C",'Administrativo '!#REF!),"")</f>
        <v>#REF!</v>
      </c>
      <c r="Z38" s="58" t="e">
        <f>IF(AND('Administrativo '!#REF!="Baja",'Administrativo '!#REF!="Moderado"),CONCATENATE("R3C",'Administrativo '!#REF!),"")</f>
        <v>#REF!</v>
      </c>
      <c r="AA38" s="59" t="e">
        <f>IF(AND('Administrativo '!#REF!="Baja",'Administrativo '!#REF!="Moderado"),CONCATENATE("R3C",'Administrativo '!#REF!),"")</f>
        <v>#REF!</v>
      </c>
      <c r="AB38" s="42" t="e">
        <f>IF(AND('Administrativo '!#REF!="Baja",'Administrativo '!#REF!="Mayor"),CONCATENATE("R3C",'Administrativo '!#REF!),"")</f>
        <v>#REF!</v>
      </c>
      <c r="AC38" s="43" t="e">
        <f>IF(AND('Administrativo '!#REF!="Baja",'Administrativo '!#REF!="Mayor"),CONCATENATE("R3C",'Administrativo '!#REF!),"")</f>
        <v>#REF!</v>
      </c>
      <c r="AD38" s="43" t="e">
        <f>IF(AND('Administrativo '!#REF!="Baja",'Administrativo '!#REF!="Mayor"),CONCATENATE("R3C",'Administrativo '!#REF!),"")</f>
        <v>#REF!</v>
      </c>
      <c r="AE38" s="43" t="e">
        <f>IF(AND('Administrativo '!#REF!="Baja",'Administrativo '!#REF!="Mayor"),CONCATENATE("R3C",'Administrativo '!#REF!),"")</f>
        <v>#REF!</v>
      </c>
      <c r="AF38" s="43" t="e">
        <f>IF(AND('Administrativo '!#REF!="Baja",'Administrativo '!#REF!="Mayor"),CONCATENATE("R3C",'Administrativo '!#REF!),"")</f>
        <v>#REF!</v>
      </c>
      <c r="AG38" s="44" t="e">
        <f>IF(AND('Administrativo '!#REF!="Baja",'Administrativo '!#REF!="Mayor"),CONCATENATE("R3C",'Administrativo '!#REF!),"")</f>
        <v>#REF!</v>
      </c>
      <c r="AH38" s="45" t="e">
        <f>IF(AND('Administrativo '!#REF!="Baja",'Administrativo '!#REF!="Catastrófico"),CONCATENATE("R3C",'Administrativo '!#REF!),"")</f>
        <v>#REF!</v>
      </c>
      <c r="AI38" s="46" t="e">
        <f>IF(AND('Administrativo '!#REF!="Baja",'Administrativo '!#REF!="Catastrófico"),CONCATENATE("R3C",'Administrativo '!#REF!),"")</f>
        <v>#REF!</v>
      </c>
      <c r="AJ38" s="46" t="e">
        <f>IF(AND('Administrativo '!#REF!="Baja",'Administrativo '!#REF!="Catastrófico"),CONCATENATE("R3C",'Administrativo '!#REF!),"")</f>
        <v>#REF!</v>
      </c>
      <c r="AK38" s="46" t="e">
        <f>IF(AND('Administrativo '!#REF!="Baja",'Administrativo '!#REF!="Catastrófico"),CONCATENATE("R3C",'Administrativo '!#REF!),"")</f>
        <v>#REF!</v>
      </c>
      <c r="AL38" s="46" t="e">
        <f>IF(AND('Administrativo '!#REF!="Baja",'Administrativo '!#REF!="Catastrófico"),CONCATENATE("R3C",'Administrativo '!#REF!),"")</f>
        <v>#REF!</v>
      </c>
      <c r="AM38" s="47" t="e">
        <f>IF(AND('Administrativo '!#REF!="Baja",'Administrativo '!#REF!="Catastrófico"),CONCATENATE("R3C",'Administrativo '!#REF!),"")</f>
        <v>#REF!</v>
      </c>
      <c r="AN38" s="73"/>
      <c r="AO38" s="845"/>
      <c r="AP38" s="846"/>
      <c r="AQ38" s="846"/>
      <c r="AR38" s="846"/>
      <c r="AS38" s="846"/>
      <c r="AT38" s="847"/>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row>
    <row r="39" spans="1:80" ht="15" customHeight="1" x14ac:dyDescent="0.25">
      <c r="A39" s="73"/>
      <c r="B39" s="773"/>
      <c r="C39" s="773"/>
      <c r="D39" s="774"/>
      <c r="E39" s="814"/>
      <c r="F39" s="815"/>
      <c r="G39" s="815"/>
      <c r="H39" s="815"/>
      <c r="I39" s="815"/>
      <c r="J39" s="66" t="e">
        <f>IF(AND('Administrativo '!#REF!="Baja",'Administrativo '!#REF!="Leve"),CONCATENATE("R4C",'Administrativo '!#REF!),"")</f>
        <v>#REF!</v>
      </c>
      <c r="K39" s="67" t="e">
        <f>IF(AND('Administrativo '!#REF!="Baja",'Administrativo '!#REF!="Leve"),CONCATENATE("R4C",'Administrativo '!#REF!),"")</f>
        <v>#REF!</v>
      </c>
      <c r="L39" s="67" t="e">
        <f>IF(AND('Administrativo '!#REF!="Baja",'Administrativo '!#REF!="Leve"),CONCATENATE("R4C",'Administrativo '!#REF!),"")</f>
        <v>#REF!</v>
      </c>
      <c r="M39" s="67" t="e">
        <f>IF(AND('Administrativo '!#REF!="Baja",'Administrativo '!#REF!="Leve"),CONCATENATE("R4C",'Administrativo '!#REF!),"")</f>
        <v>#REF!</v>
      </c>
      <c r="N39" s="67" t="e">
        <f>IF(AND('Administrativo '!#REF!="Baja",'Administrativo '!#REF!="Leve"),CONCATENATE("R4C",'Administrativo '!#REF!),"")</f>
        <v>#REF!</v>
      </c>
      <c r="O39" s="68" t="e">
        <f>IF(AND('Administrativo '!#REF!="Baja",'Administrativo '!#REF!="Leve"),CONCATENATE("R4C",'Administrativo '!#REF!),"")</f>
        <v>#REF!</v>
      </c>
      <c r="P39" s="57" t="e">
        <f>IF(AND('Administrativo '!#REF!="Baja",'Administrativo '!#REF!="Menor"),CONCATENATE("R4C",'Administrativo '!#REF!),"")</f>
        <v>#REF!</v>
      </c>
      <c r="Q39" s="58" t="e">
        <f>IF(AND('Administrativo '!#REF!="Baja",'Administrativo '!#REF!="Menor"),CONCATENATE("R4C",'Administrativo '!#REF!),"")</f>
        <v>#REF!</v>
      </c>
      <c r="R39" s="58" t="e">
        <f>IF(AND('Administrativo '!#REF!="Baja",'Administrativo '!#REF!="Menor"),CONCATENATE("R4C",'Administrativo '!#REF!),"")</f>
        <v>#REF!</v>
      </c>
      <c r="S39" s="58" t="e">
        <f>IF(AND('Administrativo '!#REF!="Baja",'Administrativo '!#REF!="Menor"),CONCATENATE("R4C",'Administrativo '!#REF!),"")</f>
        <v>#REF!</v>
      </c>
      <c r="T39" s="58" t="e">
        <f>IF(AND('Administrativo '!#REF!="Baja",'Administrativo '!#REF!="Menor"),CONCATENATE("R4C",'Administrativo '!#REF!),"")</f>
        <v>#REF!</v>
      </c>
      <c r="U39" s="59" t="e">
        <f>IF(AND('Administrativo '!#REF!="Baja",'Administrativo '!#REF!="Menor"),CONCATENATE("R4C",'Administrativo '!#REF!),"")</f>
        <v>#REF!</v>
      </c>
      <c r="V39" s="57" t="e">
        <f>IF(AND('Administrativo '!#REF!="Baja",'Administrativo '!#REF!="Moderado"),CONCATENATE("R4C",'Administrativo '!#REF!),"")</f>
        <v>#REF!</v>
      </c>
      <c r="W39" s="58" t="e">
        <f>IF(AND('Administrativo '!#REF!="Baja",'Administrativo '!#REF!="Moderado"),CONCATENATE("R4C",'Administrativo '!#REF!),"")</f>
        <v>#REF!</v>
      </c>
      <c r="X39" s="58" t="e">
        <f>IF(AND('Administrativo '!#REF!="Baja",'Administrativo '!#REF!="Moderado"),CONCATENATE("R4C",'Administrativo '!#REF!),"")</f>
        <v>#REF!</v>
      </c>
      <c r="Y39" s="58" t="e">
        <f>IF(AND('Administrativo '!#REF!="Baja",'Administrativo '!#REF!="Moderado"),CONCATENATE("R4C",'Administrativo '!#REF!),"")</f>
        <v>#REF!</v>
      </c>
      <c r="Z39" s="58" t="e">
        <f>IF(AND('Administrativo '!#REF!="Baja",'Administrativo '!#REF!="Moderado"),CONCATENATE("R4C",'Administrativo '!#REF!),"")</f>
        <v>#REF!</v>
      </c>
      <c r="AA39" s="59" t="e">
        <f>IF(AND('Administrativo '!#REF!="Baja",'Administrativo '!#REF!="Moderado"),CONCATENATE("R4C",'Administrativo '!#REF!),"")</f>
        <v>#REF!</v>
      </c>
      <c r="AB39" s="42" t="e">
        <f>IF(AND('Administrativo '!#REF!="Baja",'Administrativo '!#REF!="Mayor"),CONCATENATE("R4C",'Administrativo '!#REF!),"")</f>
        <v>#REF!</v>
      </c>
      <c r="AC39" s="43" t="e">
        <f>IF(AND('Administrativo '!#REF!="Baja",'Administrativo '!#REF!="Mayor"),CONCATENATE("R4C",'Administrativo '!#REF!),"")</f>
        <v>#REF!</v>
      </c>
      <c r="AD39" s="43" t="e">
        <f>IF(AND('Administrativo '!#REF!="Baja",'Administrativo '!#REF!="Mayor"),CONCATENATE("R4C",'Administrativo '!#REF!),"")</f>
        <v>#REF!</v>
      </c>
      <c r="AE39" s="43" t="e">
        <f>IF(AND('Administrativo '!#REF!="Baja",'Administrativo '!#REF!="Mayor"),CONCATENATE("R4C",'Administrativo '!#REF!),"")</f>
        <v>#REF!</v>
      </c>
      <c r="AF39" s="43" t="e">
        <f>IF(AND('Administrativo '!#REF!="Baja",'Administrativo '!#REF!="Mayor"),CONCATENATE("R4C",'Administrativo '!#REF!),"")</f>
        <v>#REF!</v>
      </c>
      <c r="AG39" s="44" t="e">
        <f>IF(AND('Administrativo '!#REF!="Baja",'Administrativo '!#REF!="Mayor"),CONCATENATE("R4C",'Administrativo '!#REF!),"")</f>
        <v>#REF!</v>
      </c>
      <c r="AH39" s="45" t="e">
        <f>IF(AND('Administrativo '!#REF!="Baja",'Administrativo '!#REF!="Catastrófico"),CONCATENATE("R4C",'Administrativo '!#REF!),"")</f>
        <v>#REF!</v>
      </c>
      <c r="AI39" s="46" t="e">
        <f>IF(AND('Administrativo '!#REF!="Baja",'Administrativo '!#REF!="Catastrófico"),CONCATENATE("R4C",'Administrativo '!#REF!),"")</f>
        <v>#REF!</v>
      </c>
      <c r="AJ39" s="46" t="e">
        <f>IF(AND('Administrativo '!#REF!="Baja",'Administrativo '!#REF!="Catastrófico"),CONCATENATE("R4C",'Administrativo '!#REF!),"")</f>
        <v>#REF!</v>
      </c>
      <c r="AK39" s="46" t="e">
        <f>IF(AND('Administrativo '!#REF!="Baja",'Administrativo '!#REF!="Catastrófico"),CONCATENATE("R4C",'Administrativo '!#REF!),"")</f>
        <v>#REF!</v>
      </c>
      <c r="AL39" s="46" t="e">
        <f>IF(AND('Administrativo '!#REF!="Baja",'Administrativo '!#REF!="Catastrófico"),CONCATENATE("R4C",'Administrativo '!#REF!),"")</f>
        <v>#REF!</v>
      </c>
      <c r="AM39" s="47" t="e">
        <f>IF(AND('Administrativo '!#REF!="Baja",'Administrativo '!#REF!="Catastrófico"),CONCATENATE("R4C",'Administrativo '!#REF!),"")</f>
        <v>#REF!</v>
      </c>
      <c r="AN39" s="73"/>
      <c r="AO39" s="845"/>
      <c r="AP39" s="846"/>
      <c r="AQ39" s="846"/>
      <c r="AR39" s="846"/>
      <c r="AS39" s="846"/>
      <c r="AT39" s="847"/>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row>
    <row r="40" spans="1:80" ht="15" customHeight="1" x14ac:dyDescent="0.25">
      <c r="A40" s="73"/>
      <c r="B40" s="773"/>
      <c r="C40" s="773"/>
      <c r="D40" s="774"/>
      <c r="E40" s="814"/>
      <c r="F40" s="815"/>
      <c r="G40" s="815"/>
      <c r="H40" s="815"/>
      <c r="I40" s="815"/>
      <c r="J40" s="66" t="e">
        <f>IF(AND('Administrativo '!#REF!="Baja",'Administrativo '!#REF!="Leve"),CONCATENATE("R5C",'Administrativo '!#REF!),"")</f>
        <v>#REF!</v>
      </c>
      <c r="K40" s="67" t="e">
        <f>IF(AND('Administrativo '!#REF!="Baja",'Administrativo '!#REF!="Leve"),CONCATENATE("R5C",'Administrativo '!#REF!),"")</f>
        <v>#REF!</v>
      </c>
      <c r="L40" s="67" t="e">
        <f>IF(AND('Administrativo '!#REF!="Baja",'Administrativo '!#REF!="Leve"),CONCATENATE("R5C",'Administrativo '!#REF!),"")</f>
        <v>#REF!</v>
      </c>
      <c r="M40" s="67" t="e">
        <f>IF(AND('Administrativo '!#REF!="Baja",'Administrativo '!#REF!="Leve"),CONCATENATE("R5C",'Administrativo '!#REF!),"")</f>
        <v>#REF!</v>
      </c>
      <c r="N40" s="67" t="e">
        <f>IF(AND('Administrativo '!#REF!="Baja",'Administrativo '!#REF!="Leve"),CONCATENATE("R5C",'Administrativo '!#REF!),"")</f>
        <v>#REF!</v>
      </c>
      <c r="O40" s="68" t="e">
        <f>IF(AND('Administrativo '!#REF!="Baja",'Administrativo '!#REF!="Leve"),CONCATENATE("R5C",'Administrativo '!#REF!),"")</f>
        <v>#REF!</v>
      </c>
      <c r="P40" s="57" t="e">
        <f>IF(AND('Administrativo '!#REF!="Baja",'Administrativo '!#REF!="Menor"),CONCATENATE("R5C",'Administrativo '!#REF!),"")</f>
        <v>#REF!</v>
      </c>
      <c r="Q40" s="58" t="e">
        <f>IF(AND('Administrativo '!#REF!="Baja",'Administrativo '!#REF!="Menor"),CONCATENATE("R5C",'Administrativo '!#REF!),"")</f>
        <v>#REF!</v>
      </c>
      <c r="R40" s="58" t="e">
        <f>IF(AND('Administrativo '!#REF!="Baja",'Administrativo '!#REF!="Menor"),CONCATENATE("R5C",'Administrativo '!#REF!),"")</f>
        <v>#REF!</v>
      </c>
      <c r="S40" s="58" t="e">
        <f>IF(AND('Administrativo '!#REF!="Baja",'Administrativo '!#REF!="Menor"),CONCATENATE("R5C",'Administrativo '!#REF!),"")</f>
        <v>#REF!</v>
      </c>
      <c r="T40" s="58" t="e">
        <f>IF(AND('Administrativo '!#REF!="Baja",'Administrativo '!#REF!="Menor"),CONCATENATE("R5C",'Administrativo '!#REF!),"")</f>
        <v>#REF!</v>
      </c>
      <c r="U40" s="59" t="e">
        <f>IF(AND('Administrativo '!#REF!="Baja",'Administrativo '!#REF!="Menor"),CONCATENATE("R5C",'Administrativo '!#REF!),"")</f>
        <v>#REF!</v>
      </c>
      <c r="V40" s="57" t="e">
        <f>IF(AND('Administrativo '!#REF!="Baja",'Administrativo '!#REF!="Moderado"),CONCATENATE("R5C",'Administrativo '!#REF!),"")</f>
        <v>#REF!</v>
      </c>
      <c r="W40" s="58" t="e">
        <f>IF(AND('Administrativo '!#REF!="Baja",'Administrativo '!#REF!="Moderado"),CONCATENATE("R5C",'Administrativo '!#REF!),"")</f>
        <v>#REF!</v>
      </c>
      <c r="X40" s="58" t="e">
        <f>IF(AND('Administrativo '!#REF!="Baja",'Administrativo '!#REF!="Moderado"),CONCATENATE("R5C",'Administrativo '!#REF!),"")</f>
        <v>#REF!</v>
      </c>
      <c r="Y40" s="58" t="e">
        <f>IF(AND('Administrativo '!#REF!="Baja",'Administrativo '!#REF!="Moderado"),CONCATENATE("R5C",'Administrativo '!#REF!),"")</f>
        <v>#REF!</v>
      </c>
      <c r="Z40" s="58" t="e">
        <f>IF(AND('Administrativo '!#REF!="Baja",'Administrativo '!#REF!="Moderado"),CONCATENATE("R5C",'Administrativo '!#REF!),"")</f>
        <v>#REF!</v>
      </c>
      <c r="AA40" s="59" t="e">
        <f>IF(AND('Administrativo '!#REF!="Baja",'Administrativo '!#REF!="Moderado"),CONCATENATE("R5C",'Administrativo '!#REF!),"")</f>
        <v>#REF!</v>
      </c>
      <c r="AB40" s="42" t="e">
        <f>IF(AND('Administrativo '!#REF!="Baja",'Administrativo '!#REF!="Mayor"),CONCATENATE("R5C",'Administrativo '!#REF!),"")</f>
        <v>#REF!</v>
      </c>
      <c r="AC40" s="43" t="e">
        <f>IF(AND('Administrativo '!#REF!="Baja",'Administrativo '!#REF!="Mayor"),CONCATENATE("R5C",'Administrativo '!#REF!),"")</f>
        <v>#REF!</v>
      </c>
      <c r="AD40" s="43" t="e">
        <f>IF(AND('Administrativo '!#REF!="Baja",'Administrativo '!#REF!="Mayor"),CONCATENATE("R5C",'Administrativo '!#REF!),"")</f>
        <v>#REF!</v>
      </c>
      <c r="AE40" s="43" t="e">
        <f>IF(AND('Administrativo '!#REF!="Baja",'Administrativo '!#REF!="Mayor"),CONCATENATE("R5C",'Administrativo '!#REF!),"")</f>
        <v>#REF!</v>
      </c>
      <c r="AF40" s="43" t="e">
        <f>IF(AND('Administrativo '!#REF!="Baja",'Administrativo '!#REF!="Mayor"),CONCATENATE("R5C",'Administrativo '!#REF!),"")</f>
        <v>#REF!</v>
      </c>
      <c r="AG40" s="44" t="e">
        <f>IF(AND('Administrativo '!#REF!="Baja",'Administrativo '!#REF!="Mayor"),CONCATENATE("R5C",'Administrativo '!#REF!),"")</f>
        <v>#REF!</v>
      </c>
      <c r="AH40" s="45" t="e">
        <f>IF(AND('Administrativo '!#REF!="Baja",'Administrativo '!#REF!="Catastrófico"),CONCATENATE("R5C",'Administrativo '!#REF!),"")</f>
        <v>#REF!</v>
      </c>
      <c r="AI40" s="46" t="e">
        <f>IF(AND('Administrativo '!#REF!="Baja",'Administrativo '!#REF!="Catastrófico"),CONCATENATE("R5C",'Administrativo '!#REF!),"")</f>
        <v>#REF!</v>
      </c>
      <c r="AJ40" s="46" t="e">
        <f>IF(AND('Administrativo '!#REF!="Baja",'Administrativo '!#REF!="Catastrófico"),CONCATENATE("R5C",'Administrativo '!#REF!),"")</f>
        <v>#REF!</v>
      </c>
      <c r="AK40" s="46" t="e">
        <f>IF(AND('Administrativo '!#REF!="Baja",'Administrativo '!#REF!="Catastrófico"),CONCATENATE("R5C",'Administrativo '!#REF!),"")</f>
        <v>#REF!</v>
      </c>
      <c r="AL40" s="46" t="e">
        <f>IF(AND('Administrativo '!#REF!="Baja",'Administrativo '!#REF!="Catastrófico"),CONCATENATE("R5C",'Administrativo '!#REF!),"")</f>
        <v>#REF!</v>
      </c>
      <c r="AM40" s="47" t="e">
        <f>IF(AND('Administrativo '!#REF!="Baja",'Administrativo '!#REF!="Catastrófico"),CONCATENATE("R5C",'Administrativo '!#REF!),"")</f>
        <v>#REF!</v>
      </c>
      <c r="AN40" s="73"/>
      <c r="AO40" s="845"/>
      <c r="AP40" s="846"/>
      <c r="AQ40" s="846"/>
      <c r="AR40" s="846"/>
      <c r="AS40" s="846"/>
      <c r="AT40" s="847"/>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row>
    <row r="41" spans="1:80" ht="15" customHeight="1" x14ac:dyDescent="0.25">
      <c r="A41" s="73"/>
      <c r="B41" s="773"/>
      <c r="C41" s="773"/>
      <c r="D41" s="774"/>
      <c r="E41" s="814"/>
      <c r="F41" s="815"/>
      <c r="G41" s="815"/>
      <c r="H41" s="815"/>
      <c r="I41" s="815"/>
      <c r="J41" s="66" t="e">
        <f>IF(AND('Administrativo '!#REF!="Baja",'Administrativo '!#REF!="Leve"),CONCATENATE("R6C",'Administrativo '!#REF!),"")</f>
        <v>#REF!</v>
      </c>
      <c r="K41" s="67" t="e">
        <f>IF(AND('Administrativo '!#REF!="Baja",'Administrativo '!#REF!="Leve"),CONCATENATE("R6C",'Administrativo '!#REF!),"")</f>
        <v>#REF!</v>
      </c>
      <c r="L41" s="67" t="e">
        <f>IF(AND('Administrativo '!#REF!="Baja",'Administrativo '!#REF!="Leve"),CONCATENATE("R6C",'Administrativo '!#REF!),"")</f>
        <v>#REF!</v>
      </c>
      <c r="M41" s="67" t="e">
        <f>IF(AND('Administrativo '!#REF!="Baja",'Administrativo '!#REF!="Leve"),CONCATENATE("R6C",'Administrativo '!#REF!),"")</f>
        <v>#REF!</v>
      </c>
      <c r="N41" s="67" t="e">
        <f>IF(AND('Administrativo '!#REF!="Baja",'Administrativo '!#REF!="Leve"),CONCATENATE("R6C",'Administrativo '!#REF!),"")</f>
        <v>#REF!</v>
      </c>
      <c r="O41" s="68" t="e">
        <f>IF(AND('Administrativo '!#REF!="Baja",'Administrativo '!#REF!="Leve"),CONCATENATE("R6C",'Administrativo '!#REF!),"")</f>
        <v>#REF!</v>
      </c>
      <c r="P41" s="57" t="e">
        <f>IF(AND('Administrativo '!#REF!="Baja",'Administrativo '!#REF!="Menor"),CONCATENATE("R6C",'Administrativo '!#REF!),"")</f>
        <v>#REF!</v>
      </c>
      <c r="Q41" s="58" t="e">
        <f>IF(AND('Administrativo '!#REF!="Baja",'Administrativo '!#REF!="Menor"),CONCATENATE("R6C",'Administrativo '!#REF!),"")</f>
        <v>#REF!</v>
      </c>
      <c r="R41" s="58" t="e">
        <f>IF(AND('Administrativo '!#REF!="Baja",'Administrativo '!#REF!="Menor"),CONCATENATE("R6C",'Administrativo '!#REF!),"")</f>
        <v>#REF!</v>
      </c>
      <c r="S41" s="58" t="e">
        <f>IF(AND('Administrativo '!#REF!="Baja",'Administrativo '!#REF!="Menor"),CONCATENATE("R6C",'Administrativo '!#REF!),"")</f>
        <v>#REF!</v>
      </c>
      <c r="T41" s="58" t="e">
        <f>IF(AND('Administrativo '!#REF!="Baja",'Administrativo '!#REF!="Menor"),CONCATENATE("R6C",'Administrativo '!#REF!),"")</f>
        <v>#REF!</v>
      </c>
      <c r="U41" s="59" t="e">
        <f>IF(AND('Administrativo '!#REF!="Baja",'Administrativo '!#REF!="Menor"),CONCATENATE("R6C",'Administrativo '!#REF!),"")</f>
        <v>#REF!</v>
      </c>
      <c r="V41" s="57" t="e">
        <f>IF(AND('Administrativo '!#REF!="Baja",'Administrativo '!#REF!="Moderado"),CONCATENATE("R6C",'Administrativo '!#REF!),"")</f>
        <v>#REF!</v>
      </c>
      <c r="W41" s="58" t="e">
        <f>IF(AND('Administrativo '!#REF!="Baja",'Administrativo '!#REF!="Moderado"),CONCATENATE("R6C",'Administrativo '!#REF!),"")</f>
        <v>#REF!</v>
      </c>
      <c r="X41" s="58" t="e">
        <f>IF(AND('Administrativo '!#REF!="Baja",'Administrativo '!#REF!="Moderado"),CONCATENATE("R6C",'Administrativo '!#REF!),"")</f>
        <v>#REF!</v>
      </c>
      <c r="Y41" s="58" t="e">
        <f>IF(AND('Administrativo '!#REF!="Baja",'Administrativo '!#REF!="Moderado"),CONCATENATE("R6C",'Administrativo '!#REF!),"")</f>
        <v>#REF!</v>
      </c>
      <c r="Z41" s="58" t="e">
        <f>IF(AND('Administrativo '!#REF!="Baja",'Administrativo '!#REF!="Moderado"),CONCATENATE("R6C",'Administrativo '!#REF!),"")</f>
        <v>#REF!</v>
      </c>
      <c r="AA41" s="59" t="e">
        <f>IF(AND('Administrativo '!#REF!="Baja",'Administrativo '!#REF!="Moderado"),CONCATENATE("R6C",'Administrativo '!#REF!),"")</f>
        <v>#REF!</v>
      </c>
      <c r="AB41" s="42" t="e">
        <f>IF(AND('Administrativo '!#REF!="Baja",'Administrativo '!#REF!="Mayor"),CONCATENATE("R6C",'Administrativo '!#REF!),"")</f>
        <v>#REF!</v>
      </c>
      <c r="AC41" s="43" t="e">
        <f>IF(AND('Administrativo '!#REF!="Baja",'Administrativo '!#REF!="Mayor"),CONCATENATE("R6C",'Administrativo '!#REF!),"")</f>
        <v>#REF!</v>
      </c>
      <c r="AD41" s="43" t="e">
        <f>IF(AND('Administrativo '!#REF!="Baja",'Administrativo '!#REF!="Mayor"),CONCATENATE("R6C",'Administrativo '!#REF!),"")</f>
        <v>#REF!</v>
      </c>
      <c r="AE41" s="43" t="e">
        <f>IF(AND('Administrativo '!#REF!="Baja",'Administrativo '!#REF!="Mayor"),CONCATENATE("R6C",'Administrativo '!#REF!),"")</f>
        <v>#REF!</v>
      </c>
      <c r="AF41" s="43" t="e">
        <f>IF(AND('Administrativo '!#REF!="Baja",'Administrativo '!#REF!="Mayor"),CONCATENATE("R6C",'Administrativo '!#REF!),"")</f>
        <v>#REF!</v>
      </c>
      <c r="AG41" s="44" t="e">
        <f>IF(AND('Administrativo '!#REF!="Baja",'Administrativo '!#REF!="Mayor"),CONCATENATE("R6C",'Administrativo '!#REF!),"")</f>
        <v>#REF!</v>
      </c>
      <c r="AH41" s="45" t="e">
        <f>IF(AND('Administrativo '!#REF!="Baja",'Administrativo '!#REF!="Catastrófico"),CONCATENATE("R6C",'Administrativo '!#REF!),"")</f>
        <v>#REF!</v>
      </c>
      <c r="AI41" s="46" t="e">
        <f>IF(AND('Administrativo '!#REF!="Baja",'Administrativo '!#REF!="Catastrófico"),CONCATENATE("R6C",'Administrativo '!#REF!),"")</f>
        <v>#REF!</v>
      </c>
      <c r="AJ41" s="46" t="e">
        <f>IF(AND('Administrativo '!#REF!="Baja",'Administrativo '!#REF!="Catastrófico"),CONCATENATE("R6C",'Administrativo '!#REF!),"")</f>
        <v>#REF!</v>
      </c>
      <c r="AK41" s="46" t="e">
        <f>IF(AND('Administrativo '!#REF!="Baja",'Administrativo '!#REF!="Catastrófico"),CONCATENATE("R6C",'Administrativo '!#REF!),"")</f>
        <v>#REF!</v>
      </c>
      <c r="AL41" s="46" t="e">
        <f>IF(AND('Administrativo '!#REF!="Baja",'Administrativo '!#REF!="Catastrófico"),CONCATENATE("R6C",'Administrativo '!#REF!),"")</f>
        <v>#REF!</v>
      </c>
      <c r="AM41" s="47" t="e">
        <f>IF(AND('Administrativo '!#REF!="Baja",'Administrativo '!#REF!="Catastrófico"),CONCATENATE("R6C",'Administrativo '!#REF!),"")</f>
        <v>#REF!</v>
      </c>
      <c r="AN41" s="73"/>
      <c r="AO41" s="845"/>
      <c r="AP41" s="846"/>
      <c r="AQ41" s="846"/>
      <c r="AR41" s="846"/>
      <c r="AS41" s="846"/>
      <c r="AT41" s="847"/>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row>
    <row r="42" spans="1:80" ht="15" customHeight="1" x14ac:dyDescent="0.25">
      <c r="A42" s="73"/>
      <c r="B42" s="773"/>
      <c r="C42" s="773"/>
      <c r="D42" s="774"/>
      <c r="E42" s="814"/>
      <c r="F42" s="815"/>
      <c r="G42" s="815"/>
      <c r="H42" s="815"/>
      <c r="I42" s="815"/>
      <c r="J42" s="66" t="e">
        <f>IF(AND('Administrativo '!#REF!="Baja",'Administrativo '!#REF!="Leve"),CONCATENATE("R7C",'Administrativo '!#REF!),"")</f>
        <v>#REF!</v>
      </c>
      <c r="K42" s="67" t="e">
        <f>IF(AND('Administrativo '!#REF!="Baja",'Administrativo '!#REF!="Leve"),CONCATENATE("R7C",'Administrativo '!#REF!),"")</f>
        <v>#REF!</v>
      </c>
      <c r="L42" s="67" t="e">
        <f>IF(AND('Administrativo '!#REF!="Baja",'Administrativo '!#REF!="Leve"),CONCATENATE("R7C",'Administrativo '!#REF!),"")</f>
        <v>#REF!</v>
      </c>
      <c r="M42" s="67" t="e">
        <f>IF(AND('Administrativo '!#REF!="Baja",'Administrativo '!#REF!="Leve"),CONCATENATE("R7C",'Administrativo '!#REF!),"")</f>
        <v>#REF!</v>
      </c>
      <c r="N42" s="67" t="e">
        <f>IF(AND('Administrativo '!#REF!="Baja",'Administrativo '!#REF!="Leve"),CONCATENATE("R7C",'Administrativo '!#REF!),"")</f>
        <v>#REF!</v>
      </c>
      <c r="O42" s="68" t="e">
        <f>IF(AND('Administrativo '!#REF!="Baja",'Administrativo '!#REF!="Leve"),CONCATENATE("R7C",'Administrativo '!#REF!),"")</f>
        <v>#REF!</v>
      </c>
      <c r="P42" s="57" t="e">
        <f>IF(AND('Administrativo '!#REF!="Baja",'Administrativo '!#REF!="Menor"),CONCATENATE("R7C",'Administrativo '!#REF!),"")</f>
        <v>#REF!</v>
      </c>
      <c r="Q42" s="58" t="e">
        <f>IF(AND('Administrativo '!#REF!="Baja",'Administrativo '!#REF!="Menor"),CONCATENATE("R7C",'Administrativo '!#REF!),"")</f>
        <v>#REF!</v>
      </c>
      <c r="R42" s="58" t="e">
        <f>IF(AND('Administrativo '!#REF!="Baja",'Administrativo '!#REF!="Menor"),CONCATENATE("R7C",'Administrativo '!#REF!),"")</f>
        <v>#REF!</v>
      </c>
      <c r="S42" s="58" t="e">
        <f>IF(AND('Administrativo '!#REF!="Baja",'Administrativo '!#REF!="Menor"),CONCATENATE("R7C",'Administrativo '!#REF!),"")</f>
        <v>#REF!</v>
      </c>
      <c r="T42" s="58" t="e">
        <f>IF(AND('Administrativo '!#REF!="Baja",'Administrativo '!#REF!="Menor"),CONCATENATE("R7C",'Administrativo '!#REF!),"")</f>
        <v>#REF!</v>
      </c>
      <c r="U42" s="59" t="e">
        <f>IF(AND('Administrativo '!#REF!="Baja",'Administrativo '!#REF!="Menor"),CONCATENATE("R7C",'Administrativo '!#REF!),"")</f>
        <v>#REF!</v>
      </c>
      <c r="V42" s="57" t="e">
        <f>IF(AND('Administrativo '!#REF!="Baja",'Administrativo '!#REF!="Moderado"),CONCATENATE("R7C",'Administrativo '!#REF!),"")</f>
        <v>#REF!</v>
      </c>
      <c r="W42" s="58" t="e">
        <f>IF(AND('Administrativo '!#REF!="Baja",'Administrativo '!#REF!="Moderado"),CONCATENATE("R7C",'Administrativo '!#REF!),"")</f>
        <v>#REF!</v>
      </c>
      <c r="X42" s="58" t="e">
        <f>IF(AND('Administrativo '!#REF!="Baja",'Administrativo '!#REF!="Moderado"),CONCATENATE("R7C",'Administrativo '!#REF!),"")</f>
        <v>#REF!</v>
      </c>
      <c r="Y42" s="58" t="e">
        <f>IF(AND('Administrativo '!#REF!="Baja",'Administrativo '!#REF!="Moderado"),CONCATENATE("R7C",'Administrativo '!#REF!),"")</f>
        <v>#REF!</v>
      </c>
      <c r="Z42" s="58" t="e">
        <f>IF(AND('Administrativo '!#REF!="Baja",'Administrativo '!#REF!="Moderado"),CONCATENATE("R7C",'Administrativo '!#REF!),"")</f>
        <v>#REF!</v>
      </c>
      <c r="AA42" s="59" t="e">
        <f>IF(AND('Administrativo '!#REF!="Baja",'Administrativo '!#REF!="Moderado"),CONCATENATE("R7C",'Administrativo '!#REF!),"")</f>
        <v>#REF!</v>
      </c>
      <c r="AB42" s="42" t="e">
        <f>IF(AND('Administrativo '!#REF!="Baja",'Administrativo '!#REF!="Mayor"),CONCATENATE("R7C",'Administrativo '!#REF!),"")</f>
        <v>#REF!</v>
      </c>
      <c r="AC42" s="43" t="e">
        <f>IF(AND('Administrativo '!#REF!="Baja",'Administrativo '!#REF!="Mayor"),CONCATENATE("R7C",'Administrativo '!#REF!),"")</f>
        <v>#REF!</v>
      </c>
      <c r="AD42" s="43" t="e">
        <f>IF(AND('Administrativo '!#REF!="Baja",'Administrativo '!#REF!="Mayor"),CONCATENATE("R7C",'Administrativo '!#REF!),"")</f>
        <v>#REF!</v>
      </c>
      <c r="AE42" s="43" t="e">
        <f>IF(AND('Administrativo '!#REF!="Baja",'Administrativo '!#REF!="Mayor"),CONCATENATE("R7C",'Administrativo '!#REF!),"")</f>
        <v>#REF!</v>
      </c>
      <c r="AF42" s="43" t="e">
        <f>IF(AND('Administrativo '!#REF!="Baja",'Administrativo '!#REF!="Mayor"),CONCATENATE("R7C",'Administrativo '!#REF!),"")</f>
        <v>#REF!</v>
      </c>
      <c r="AG42" s="44" t="e">
        <f>IF(AND('Administrativo '!#REF!="Baja",'Administrativo '!#REF!="Mayor"),CONCATENATE("R7C",'Administrativo '!#REF!),"")</f>
        <v>#REF!</v>
      </c>
      <c r="AH42" s="45" t="e">
        <f>IF(AND('Administrativo '!#REF!="Baja",'Administrativo '!#REF!="Catastrófico"),CONCATENATE("R7C",'Administrativo '!#REF!),"")</f>
        <v>#REF!</v>
      </c>
      <c r="AI42" s="46" t="e">
        <f>IF(AND('Administrativo '!#REF!="Baja",'Administrativo '!#REF!="Catastrófico"),CONCATENATE("R7C",'Administrativo '!#REF!),"")</f>
        <v>#REF!</v>
      </c>
      <c r="AJ42" s="46" t="e">
        <f>IF(AND('Administrativo '!#REF!="Baja",'Administrativo '!#REF!="Catastrófico"),CONCATENATE("R7C",'Administrativo '!#REF!),"")</f>
        <v>#REF!</v>
      </c>
      <c r="AK42" s="46" t="e">
        <f>IF(AND('Administrativo '!#REF!="Baja",'Administrativo '!#REF!="Catastrófico"),CONCATENATE("R7C",'Administrativo '!#REF!),"")</f>
        <v>#REF!</v>
      </c>
      <c r="AL42" s="46" t="e">
        <f>IF(AND('Administrativo '!#REF!="Baja",'Administrativo '!#REF!="Catastrófico"),CONCATENATE("R7C",'Administrativo '!#REF!),"")</f>
        <v>#REF!</v>
      </c>
      <c r="AM42" s="47" t="e">
        <f>IF(AND('Administrativo '!#REF!="Baja",'Administrativo '!#REF!="Catastrófico"),CONCATENATE("R7C",'Administrativo '!#REF!),"")</f>
        <v>#REF!</v>
      </c>
      <c r="AN42" s="73"/>
      <c r="AO42" s="845"/>
      <c r="AP42" s="846"/>
      <c r="AQ42" s="846"/>
      <c r="AR42" s="846"/>
      <c r="AS42" s="846"/>
      <c r="AT42" s="847"/>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row>
    <row r="43" spans="1:80" ht="15" customHeight="1" x14ac:dyDescent="0.25">
      <c r="A43" s="73"/>
      <c r="B43" s="773"/>
      <c r="C43" s="773"/>
      <c r="D43" s="774"/>
      <c r="E43" s="814"/>
      <c r="F43" s="815"/>
      <c r="G43" s="815"/>
      <c r="H43" s="815"/>
      <c r="I43" s="815"/>
      <c r="J43" s="66" t="e">
        <f>IF(AND('Administrativo '!#REF!="Baja",'Administrativo '!#REF!="Leve"),CONCATENATE("R8C",'Administrativo '!#REF!),"")</f>
        <v>#REF!</v>
      </c>
      <c r="K43" s="67" t="e">
        <f>IF(AND('Administrativo '!#REF!="Baja",'Administrativo '!#REF!="Leve"),CONCATENATE("R8C",'Administrativo '!#REF!),"")</f>
        <v>#REF!</v>
      </c>
      <c r="L43" s="67" t="e">
        <f>IF(AND('Administrativo '!#REF!="Baja",'Administrativo '!#REF!="Leve"),CONCATENATE("R8C",'Administrativo '!#REF!),"")</f>
        <v>#REF!</v>
      </c>
      <c r="M43" s="67" t="e">
        <f>IF(AND('Administrativo '!#REF!="Baja",'Administrativo '!#REF!="Leve"),CONCATENATE("R8C",'Administrativo '!#REF!),"")</f>
        <v>#REF!</v>
      </c>
      <c r="N43" s="67" t="e">
        <f>IF(AND('Administrativo '!#REF!="Baja",'Administrativo '!#REF!="Leve"),CONCATENATE("R8C",'Administrativo '!#REF!),"")</f>
        <v>#REF!</v>
      </c>
      <c r="O43" s="68" t="e">
        <f>IF(AND('Administrativo '!#REF!="Baja",'Administrativo '!#REF!="Leve"),CONCATENATE("R8C",'Administrativo '!#REF!),"")</f>
        <v>#REF!</v>
      </c>
      <c r="P43" s="57" t="e">
        <f>IF(AND('Administrativo '!#REF!="Baja",'Administrativo '!#REF!="Menor"),CONCATENATE("R8C",'Administrativo '!#REF!),"")</f>
        <v>#REF!</v>
      </c>
      <c r="Q43" s="58" t="e">
        <f>IF(AND('Administrativo '!#REF!="Baja",'Administrativo '!#REF!="Menor"),CONCATENATE("R8C",'Administrativo '!#REF!),"")</f>
        <v>#REF!</v>
      </c>
      <c r="R43" s="58" t="e">
        <f>IF(AND('Administrativo '!#REF!="Baja",'Administrativo '!#REF!="Menor"),CONCATENATE("R8C",'Administrativo '!#REF!),"")</f>
        <v>#REF!</v>
      </c>
      <c r="S43" s="58" t="e">
        <f>IF(AND('Administrativo '!#REF!="Baja",'Administrativo '!#REF!="Menor"),CONCATENATE("R8C",'Administrativo '!#REF!),"")</f>
        <v>#REF!</v>
      </c>
      <c r="T43" s="58" t="e">
        <f>IF(AND('Administrativo '!#REF!="Baja",'Administrativo '!#REF!="Menor"),CONCATENATE("R8C",'Administrativo '!#REF!),"")</f>
        <v>#REF!</v>
      </c>
      <c r="U43" s="59" t="e">
        <f>IF(AND('Administrativo '!#REF!="Baja",'Administrativo '!#REF!="Menor"),CONCATENATE("R8C",'Administrativo '!#REF!),"")</f>
        <v>#REF!</v>
      </c>
      <c r="V43" s="57" t="e">
        <f>IF(AND('Administrativo '!#REF!="Baja",'Administrativo '!#REF!="Moderado"),CONCATENATE("R8C",'Administrativo '!#REF!),"")</f>
        <v>#REF!</v>
      </c>
      <c r="W43" s="58" t="e">
        <f>IF(AND('Administrativo '!#REF!="Baja",'Administrativo '!#REF!="Moderado"),CONCATENATE("R8C",'Administrativo '!#REF!),"")</f>
        <v>#REF!</v>
      </c>
      <c r="X43" s="58" t="e">
        <f>IF(AND('Administrativo '!#REF!="Baja",'Administrativo '!#REF!="Moderado"),CONCATENATE("R8C",'Administrativo '!#REF!),"")</f>
        <v>#REF!</v>
      </c>
      <c r="Y43" s="58" t="e">
        <f>IF(AND('Administrativo '!#REF!="Baja",'Administrativo '!#REF!="Moderado"),CONCATENATE("R8C",'Administrativo '!#REF!),"")</f>
        <v>#REF!</v>
      </c>
      <c r="Z43" s="58" t="e">
        <f>IF(AND('Administrativo '!#REF!="Baja",'Administrativo '!#REF!="Moderado"),CONCATENATE("R8C",'Administrativo '!#REF!),"")</f>
        <v>#REF!</v>
      </c>
      <c r="AA43" s="59" t="e">
        <f>IF(AND('Administrativo '!#REF!="Baja",'Administrativo '!#REF!="Moderado"),CONCATENATE("R8C",'Administrativo '!#REF!),"")</f>
        <v>#REF!</v>
      </c>
      <c r="AB43" s="42" t="e">
        <f>IF(AND('Administrativo '!#REF!="Baja",'Administrativo '!#REF!="Mayor"),CONCATENATE("R8C",'Administrativo '!#REF!),"")</f>
        <v>#REF!</v>
      </c>
      <c r="AC43" s="43" t="e">
        <f>IF(AND('Administrativo '!#REF!="Baja",'Administrativo '!#REF!="Mayor"),CONCATENATE("R8C",'Administrativo '!#REF!),"")</f>
        <v>#REF!</v>
      </c>
      <c r="AD43" s="43" t="e">
        <f>IF(AND('Administrativo '!#REF!="Baja",'Administrativo '!#REF!="Mayor"),CONCATENATE("R8C",'Administrativo '!#REF!),"")</f>
        <v>#REF!</v>
      </c>
      <c r="AE43" s="43" t="e">
        <f>IF(AND('Administrativo '!#REF!="Baja",'Administrativo '!#REF!="Mayor"),CONCATENATE("R8C",'Administrativo '!#REF!),"")</f>
        <v>#REF!</v>
      </c>
      <c r="AF43" s="43" t="e">
        <f>IF(AND('Administrativo '!#REF!="Baja",'Administrativo '!#REF!="Mayor"),CONCATENATE("R8C",'Administrativo '!#REF!),"")</f>
        <v>#REF!</v>
      </c>
      <c r="AG43" s="44" t="e">
        <f>IF(AND('Administrativo '!#REF!="Baja",'Administrativo '!#REF!="Mayor"),CONCATENATE("R8C",'Administrativo '!#REF!),"")</f>
        <v>#REF!</v>
      </c>
      <c r="AH43" s="45" t="e">
        <f>IF(AND('Administrativo '!#REF!="Baja",'Administrativo '!#REF!="Catastrófico"),CONCATENATE("R8C",'Administrativo '!#REF!),"")</f>
        <v>#REF!</v>
      </c>
      <c r="AI43" s="46" t="e">
        <f>IF(AND('Administrativo '!#REF!="Baja",'Administrativo '!#REF!="Catastrófico"),CONCATENATE("R8C",'Administrativo '!#REF!),"")</f>
        <v>#REF!</v>
      </c>
      <c r="AJ43" s="46" t="e">
        <f>IF(AND('Administrativo '!#REF!="Baja",'Administrativo '!#REF!="Catastrófico"),CONCATENATE("R8C",'Administrativo '!#REF!),"")</f>
        <v>#REF!</v>
      </c>
      <c r="AK43" s="46" t="e">
        <f>IF(AND('Administrativo '!#REF!="Baja",'Administrativo '!#REF!="Catastrófico"),CONCATENATE("R8C",'Administrativo '!#REF!),"")</f>
        <v>#REF!</v>
      </c>
      <c r="AL43" s="46" t="e">
        <f>IF(AND('Administrativo '!#REF!="Baja",'Administrativo '!#REF!="Catastrófico"),CONCATENATE("R8C",'Administrativo '!#REF!),"")</f>
        <v>#REF!</v>
      </c>
      <c r="AM43" s="47" t="e">
        <f>IF(AND('Administrativo '!#REF!="Baja",'Administrativo '!#REF!="Catastrófico"),CONCATENATE("R8C",'Administrativo '!#REF!),"")</f>
        <v>#REF!</v>
      </c>
      <c r="AN43" s="73"/>
      <c r="AO43" s="845"/>
      <c r="AP43" s="846"/>
      <c r="AQ43" s="846"/>
      <c r="AR43" s="846"/>
      <c r="AS43" s="846"/>
      <c r="AT43" s="847"/>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row>
    <row r="44" spans="1:80" ht="15" customHeight="1" x14ac:dyDescent="0.25">
      <c r="A44" s="73"/>
      <c r="B44" s="773"/>
      <c r="C44" s="773"/>
      <c r="D44" s="774"/>
      <c r="E44" s="814"/>
      <c r="F44" s="815"/>
      <c r="G44" s="815"/>
      <c r="H44" s="815"/>
      <c r="I44" s="815"/>
      <c r="J44" s="66" t="e">
        <f>IF(AND('Administrativo '!#REF!="Baja",'Administrativo '!#REF!="Leve"),CONCATENATE("R9C",'Administrativo '!#REF!),"")</f>
        <v>#REF!</v>
      </c>
      <c r="K44" s="67" t="e">
        <f>IF(AND('Administrativo '!#REF!="Baja",'Administrativo '!#REF!="Leve"),CONCATENATE("R9C",'Administrativo '!#REF!),"")</f>
        <v>#REF!</v>
      </c>
      <c r="L44" s="67" t="e">
        <f>IF(AND('Administrativo '!#REF!="Baja",'Administrativo '!#REF!="Leve"),CONCATENATE("R9C",'Administrativo '!#REF!),"")</f>
        <v>#REF!</v>
      </c>
      <c r="M44" s="67" t="e">
        <f>IF(AND('Administrativo '!#REF!="Baja",'Administrativo '!#REF!="Leve"),CONCATENATE("R9C",'Administrativo '!#REF!),"")</f>
        <v>#REF!</v>
      </c>
      <c r="N44" s="67" t="e">
        <f>IF(AND('Administrativo '!#REF!="Baja",'Administrativo '!#REF!="Leve"),CONCATENATE("R9C",'Administrativo '!#REF!),"")</f>
        <v>#REF!</v>
      </c>
      <c r="O44" s="68" t="e">
        <f>IF(AND('Administrativo '!#REF!="Baja",'Administrativo '!#REF!="Leve"),CONCATENATE("R9C",'Administrativo '!#REF!),"")</f>
        <v>#REF!</v>
      </c>
      <c r="P44" s="57" t="e">
        <f>IF(AND('Administrativo '!#REF!="Baja",'Administrativo '!#REF!="Menor"),CONCATENATE("R9C",'Administrativo '!#REF!),"")</f>
        <v>#REF!</v>
      </c>
      <c r="Q44" s="58" t="e">
        <f>IF(AND('Administrativo '!#REF!="Baja",'Administrativo '!#REF!="Menor"),CONCATENATE("R9C",'Administrativo '!#REF!),"")</f>
        <v>#REF!</v>
      </c>
      <c r="R44" s="58" t="e">
        <f>IF(AND('Administrativo '!#REF!="Baja",'Administrativo '!#REF!="Menor"),CONCATENATE("R9C",'Administrativo '!#REF!),"")</f>
        <v>#REF!</v>
      </c>
      <c r="S44" s="58" t="e">
        <f>IF(AND('Administrativo '!#REF!="Baja",'Administrativo '!#REF!="Menor"),CONCATENATE("R9C",'Administrativo '!#REF!),"")</f>
        <v>#REF!</v>
      </c>
      <c r="T44" s="58" t="e">
        <f>IF(AND('Administrativo '!#REF!="Baja",'Administrativo '!#REF!="Menor"),CONCATENATE("R9C",'Administrativo '!#REF!),"")</f>
        <v>#REF!</v>
      </c>
      <c r="U44" s="59" t="e">
        <f>IF(AND('Administrativo '!#REF!="Baja",'Administrativo '!#REF!="Menor"),CONCATENATE("R9C",'Administrativo '!#REF!),"")</f>
        <v>#REF!</v>
      </c>
      <c r="V44" s="57" t="e">
        <f>IF(AND('Administrativo '!#REF!="Baja",'Administrativo '!#REF!="Moderado"),CONCATENATE("R9C",'Administrativo '!#REF!),"")</f>
        <v>#REF!</v>
      </c>
      <c r="W44" s="58" t="e">
        <f>IF(AND('Administrativo '!#REF!="Baja",'Administrativo '!#REF!="Moderado"),CONCATENATE("R9C",'Administrativo '!#REF!),"")</f>
        <v>#REF!</v>
      </c>
      <c r="X44" s="58" t="e">
        <f>IF(AND('Administrativo '!#REF!="Baja",'Administrativo '!#REF!="Moderado"),CONCATENATE("R9C",'Administrativo '!#REF!),"")</f>
        <v>#REF!</v>
      </c>
      <c r="Y44" s="58" t="e">
        <f>IF(AND('Administrativo '!#REF!="Baja",'Administrativo '!#REF!="Moderado"),CONCATENATE("R9C",'Administrativo '!#REF!),"")</f>
        <v>#REF!</v>
      </c>
      <c r="Z44" s="58" t="e">
        <f>IF(AND('Administrativo '!#REF!="Baja",'Administrativo '!#REF!="Moderado"),CONCATENATE("R9C",'Administrativo '!#REF!),"")</f>
        <v>#REF!</v>
      </c>
      <c r="AA44" s="59" t="e">
        <f>IF(AND('Administrativo '!#REF!="Baja",'Administrativo '!#REF!="Moderado"),CONCATENATE("R9C",'Administrativo '!#REF!),"")</f>
        <v>#REF!</v>
      </c>
      <c r="AB44" s="42" t="e">
        <f>IF(AND('Administrativo '!#REF!="Baja",'Administrativo '!#REF!="Mayor"),CONCATENATE("R9C",'Administrativo '!#REF!),"")</f>
        <v>#REF!</v>
      </c>
      <c r="AC44" s="43" t="e">
        <f>IF(AND('Administrativo '!#REF!="Baja",'Administrativo '!#REF!="Mayor"),CONCATENATE("R9C",'Administrativo '!#REF!),"")</f>
        <v>#REF!</v>
      </c>
      <c r="AD44" s="43" t="e">
        <f>IF(AND('Administrativo '!#REF!="Baja",'Administrativo '!#REF!="Mayor"),CONCATENATE("R9C",'Administrativo '!#REF!),"")</f>
        <v>#REF!</v>
      </c>
      <c r="AE44" s="43" t="e">
        <f>IF(AND('Administrativo '!#REF!="Baja",'Administrativo '!#REF!="Mayor"),CONCATENATE("R9C",'Administrativo '!#REF!),"")</f>
        <v>#REF!</v>
      </c>
      <c r="AF44" s="43" t="e">
        <f>IF(AND('Administrativo '!#REF!="Baja",'Administrativo '!#REF!="Mayor"),CONCATENATE("R9C",'Administrativo '!#REF!),"")</f>
        <v>#REF!</v>
      </c>
      <c r="AG44" s="44" t="e">
        <f>IF(AND('Administrativo '!#REF!="Baja",'Administrativo '!#REF!="Mayor"),CONCATENATE("R9C",'Administrativo '!#REF!),"")</f>
        <v>#REF!</v>
      </c>
      <c r="AH44" s="45" t="e">
        <f>IF(AND('Administrativo '!#REF!="Baja",'Administrativo '!#REF!="Catastrófico"),CONCATENATE("R9C",'Administrativo '!#REF!),"")</f>
        <v>#REF!</v>
      </c>
      <c r="AI44" s="46" t="e">
        <f>IF(AND('Administrativo '!#REF!="Baja",'Administrativo '!#REF!="Catastrófico"),CONCATENATE("R9C",'Administrativo '!#REF!),"")</f>
        <v>#REF!</v>
      </c>
      <c r="AJ44" s="46" t="e">
        <f>IF(AND('Administrativo '!#REF!="Baja",'Administrativo '!#REF!="Catastrófico"),CONCATENATE("R9C",'Administrativo '!#REF!),"")</f>
        <v>#REF!</v>
      </c>
      <c r="AK44" s="46" t="e">
        <f>IF(AND('Administrativo '!#REF!="Baja",'Administrativo '!#REF!="Catastrófico"),CONCATENATE("R9C",'Administrativo '!#REF!),"")</f>
        <v>#REF!</v>
      </c>
      <c r="AL44" s="46" t="e">
        <f>IF(AND('Administrativo '!#REF!="Baja",'Administrativo '!#REF!="Catastrófico"),CONCATENATE("R9C",'Administrativo '!#REF!),"")</f>
        <v>#REF!</v>
      </c>
      <c r="AM44" s="47" t="e">
        <f>IF(AND('Administrativo '!#REF!="Baja",'Administrativo '!#REF!="Catastrófico"),CONCATENATE("R9C",'Administrativo '!#REF!),"")</f>
        <v>#REF!</v>
      </c>
      <c r="AN44" s="73"/>
      <c r="AO44" s="845"/>
      <c r="AP44" s="846"/>
      <c r="AQ44" s="846"/>
      <c r="AR44" s="846"/>
      <c r="AS44" s="846"/>
      <c r="AT44" s="847"/>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row>
    <row r="45" spans="1:80" ht="15.75" customHeight="1" thickBot="1" x14ac:dyDescent="0.3">
      <c r="A45" s="73"/>
      <c r="B45" s="773"/>
      <c r="C45" s="773"/>
      <c r="D45" s="774"/>
      <c r="E45" s="817"/>
      <c r="F45" s="818"/>
      <c r="G45" s="818"/>
      <c r="H45" s="818"/>
      <c r="I45" s="818"/>
      <c r="J45" s="69" t="e">
        <f>IF(AND('Administrativo '!#REF!="Baja",'Administrativo '!#REF!="Leve"),CONCATENATE("R10C",'Administrativo '!#REF!),"")</f>
        <v>#REF!</v>
      </c>
      <c r="K45" s="70" t="e">
        <f>IF(AND('Administrativo '!#REF!="Baja",'Administrativo '!#REF!="Leve"),CONCATENATE("R10C",'Administrativo '!#REF!),"")</f>
        <v>#REF!</v>
      </c>
      <c r="L45" s="70" t="e">
        <f>IF(AND('Administrativo '!#REF!="Baja",'Administrativo '!#REF!="Leve"),CONCATENATE("R10C",'Administrativo '!#REF!),"")</f>
        <v>#REF!</v>
      </c>
      <c r="M45" s="70" t="e">
        <f>IF(AND('Administrativo '!#REF!="Baja",'Administrativo '!#REF!="Leve"),CONCATENATE("R10C",'Administrativo '!#REF!),"")</f>
        <v>#REF!</v>
      </c>
      <c r="N45" s="70" t="e">
        <f>IF(AND('Administrativo '!#REF!="Baja",'Administrativo '!#REF!="Leve"),CONCATENATE("R10C",'Administrativo '!#REF!),"")</f>
        <v>#REF!</v>
      </c>
      <c r="O45" s="71" t="e">
        <f>IF(AND('Administrativo '!#REF!="Baja",'Administrativo '!#REF!="Leve"),CONCATENATE("R10C",'Administrativo '!#REF!),"")</f>
        <v>#REF!</v>
      </c>
      <c r="P45" s="57" t="e">
        <f>IF(AND('Administrativo '!#REF!="Baja",'Administrativo '!#REF!="Menor"),CONCATENATE("R10C",'Administrativo '!#REF!),"")</f>
        <v>#REF!</v>
      </c>
      <c r="Q45" s="58" t="e">
        <f>IF(AND('Administrativo '!#REF!="Baja",'Administrativo '!#REF!="Menor"),CONCATENATE("R10C",'Administrativo '!#REF!),"")</f>
        <v>#REF!</v>
      </c>
      <c r="R45" s="58" t="e">
        <f>IF(AND('Administrativo '!#REF!="Baja",'Administrativo '!#REF!="Menor"),CONCATENATE("R10C",'Administrativo '!#REF!),"")</f>
        <v>#REF!</v>
      </c>
      <c r="S45" s="58" t="e">
        <f>IF(AND('Administrativo '!#REF!="Baja",'Administrativo '!#REF!="Menor"),CONCATENATE("R10C",'Administrativo '!#REF!),"")</f>
        <v>#REF!</v>
      </c>
      <c r="T45" s="58" t="e">
        <f>IF(AND('Administrativo '!#REF!="Baja",'Administrativo '!#REF!="Menor"),CONCATENATE("R10C",'Administrativo '!#REF!),"")</f>
        <v>#REF!</v>
      </c>
      <c r="U45" s="59" t="e">
        <f>IF(AND('Administrativo '!#REF!="Baja",'Administrativo '!#REF!="Menor"),CONCATENATE("R10C",'Administrativo '!#REF!),"")</f>
        <v>#REF!</v>
      </c>
      <c r="V45" s="60" t="e">
        <f>IF(AND('Administrativo '!#REF!="Baja",'Administrativo '!#REF!="Moderado"),CONCATENATE("R10C",'Administrativo '!#REF!),"")</f>
        <v>#REF!</v>
      </c>
      <c r="W45" s="61" t="e">
        <f>IF(AND('Administrativo '!#REF!="Baja",'Administrativo '!#REF!="Moderado"),CONCATENATE("R10C",'Administrativo '!#REF!),"")</f>
        <v>#REF!</v>
      </c>
      <c r="X45" s="61" t="e">
        <f>IF(AND('Administrativo '!#REF!="Baja",'Administrativo '!#REF!="Moderado"),CONCATENATE("R10C",'Administrativo '!#REF!),"")</f>
        <v>#REF!</v>
      </c>
      <c r="Y45" s="61" t="e">
        <f>IF(AND('Administrativo '!#REF!="Baja",'Administrativo '!#REF!="Moderado"),CONCATENATE("R10C",'Administrativo '!#REF!),"")</f>
        <v>#REF!</v>
      </c>
      <c r="Z45" s="61" t="e">
        <f>IF(AND('Administrativo '!#REF!="Baja",'Administrativo '!#REF!="Moderado"),CONCATENATE("R10C",'Administrativo '!#REF!),"")</f>
        <v>#REF!</v>
      </c>
      <c r="AA45" s="62" t="e">
        <f>IF(AND('Administrativo '!#REF!="Baja",'Administrativo '!#REF!="Moderado"),CONCATENATE("R10C",'Administrativo '!#REF!),"")</f>
        <v>#REF!</v>
      </c>
      <c r="AB45" s="48" t="e">
        <f>IF(AND('Administrativo '!#REF!="Baja",'Administrativo '!#REF!="Mayor"),CONCATENATE("R10C",'Administrativo '!#REF!),"")</f>
        <v>#REF!</v>
      </c>
      <c r="AC45" s="49" t="e">
        <f>IF(AND('Administrativo '!#REF!="Baja",'Administrativo '!#REF!="Mayor"),CONCATENATE("R10C",'Administrativo '!#REF!),"")</f>
        <v>#REF!</v>
      </c>
      <c r="AD45" s="49" t="e">
        <f>IF(AND('Administrativo '!#REF!="Baja",'Administrativo '!#REF!="Mayor"),CONCATENATE("R10C",'Administrativo '!#REF!),"")</f>
        <v>#REF!</v>
      </c>
      <c r="AE45" s="49" t="e">
        <f>IF(AND('Administrativo '!#REF!="Baja",'Administrativo '!#REF!="Mayor"),CONCATENATE("R10C",'Administrativo '!#REF!),"")</f>
        <v>#REF!</v>
      </c>
      <c r="AF45" s="49" t="e">
        <f>IF(AND('Administrativo '!#REF!="Baja",'Administrativo '!#REF!="Mayor"),CONCATENATE("R10C",'Administrativo '!#REF!),"")</f>
        <v>#REF!</v>
      </c>
      <c r="AG45" s="50" t="e">
        <f>IF(AND('Administrativo '!#REF!="Baja",'Administrativo '!#REF!="Mayor"),CONCATENATE("R10C",'Administrativo '!#REF!),"")</f>
        <v>#REF!</v>
      </c>
      <c r="AH45" s="51" t="e">
        <f>IF(AND('Administrativo '!#REF!="Baja",'Administrativo '!#REF!="Catastrófico"),CONCATENATE("R10C",'Administrativo '!#REF!),"")</f>
        <v>#REF!</v>
      </c>
      <c r="AI45" s="52" t="e">
        <f>IF(AND('Administrativo '!#REF!="Baja",'Administrativo '!#REF!="Catastrófico"),CONCATENATE("R10C",'Administrativo '!#REF!),"")</f>
        <v>#REF!</v>
      </c>
      <c r="AJ45" s="52" t="e">
        <f>IF(AND('Administrativo '!#REF!="Baja",'Administrativo '!#REF!="Catastrófico"),CONCATENATE("R10C",'Administrativo '!#REF!),"")</f>
        <v>#REF!</v>
      </c>
      <c r="AK45" s="52" t="e">
        <f>IF(AND('Administrativo '!#REF!="Baja",'Administrativo '!#REF!="Catastrófico"),CONCATENATE("R10C",'Administrativo '!#REF!),"")</f>
        <v>#REF!</v>
      </c>
      <c r="AL45" s="52" t="e">
        <f>IF(AND('Administrativo '!#REF!="Baja",'Administrativo '!#REF!="Catastrófico"),CONCATENATE("R10C",'Administrativo '!#REF!),"")</f>
        <v>#REF!</v>
      </c>
      <c r="AM45" s="53" t="e">
        <f>IF(AND('Administrativo '!#REF!="Baja",'Administrativo '!#REF!="Catastrófico"),CONCATENATE("R10C",'Administrativo '!#REF!),"")</f>
        <v>#REF!</v>
      </c>
      <c r="AN45" s="73"/>
      <c r="AO45" s="848"/>
      <c r="AP45" s="849"/>
      <c r="AQ45" s="849"/>
      <c r="AR45" s="849"/>
      <c r="AS45" s="849"/>
      <c r="AT45" s="850"/>
    </row>
    <row r="46" spans="1:80" ht="46.5" customHeight="1" x14ac:dyDescent="0.35">
      <c r="A46" s="73"/>
      <c r="B46" s="773"/>
      <c r="C46" s="773"/>
      <c r="D46" s="774"/>
      <c r="E46" s="811" t="s">
        <v>117</v>
      </c>
      <c r="F46" s="812"/>
      <c r="G46" s="812"/>
      <c r="H46" s="812"/>
      <c r="I46" s="813"/>
      <c r="J46" s="63" t="str">
        <f>IF(AND('Administrativo '!$Y$10="Muy Baja",'Administrativo '!$AA$10="Leve"),CONCATENATE("R1C",'Administrativo '!$O$10),"")</f>
        <v/>
      </c>
      <c r="K46" s="64" t="str">
        <f>IF(AND('Administrativo '!$Y$11="Muy Baja",'Administrativo '!$AA$11="Leve"),CONCATENATE("R1C",'Administrativo '!$O$11),"")</f>
        <v/>
      </c>
      <c r="L46" s="64" t="e">
        <f>IF(AND('Administrativo '!#REF!="Muy Baja",'Administrativo '!#REF!="Leve"),CONCATENATE("R1C",'Administrativo '!#REF!),"")</f>
        <v>#REF!</v>
      </c>
      <c r="M46" s="64" t="e">
        <f>IF(AND('Administrativo '!#REF!="Muy Baja",'Administrativo '!#REF!="Leve"),CONCATENATE("R1C",'Administrativo '!#REF!),"")</f>
        <v>#REF!</v>
      </c>
      <c r="N46" s="64" t="e">
        <f>IF(AND('Administrativo '!#REF!="Muy Baja",'Administrativo '!#REF!="Leve"),CONCATENATE("R1C",'Administrativo '!#REF!),"")</f>
        <v>#REF!</v>
      </c>
      <c r="O46" s="65" t="e">
        <f>IF(AND('Administrativo '!#REF!="Muy Baja",'Administrativo '!#REF!="Leve"),CONCATENATE("R1C",'Administrativo '!#REF!),"")</f>
        <v>#REF!</v>
      </c>
      <c r="P46" s="63" t="str">
        <f>IF(AND('Administrativo '!$Y$10="Muy Baja",'Administrativo '!$AA$10="Menor"),CONCATENATE("R1C",'Administrativo '!$O$10),"")</f>
        <v/>
      </c>
      <c r="Q46" s="64" t="str">
        <f>IF(AND('Administrativo '!$Y$11="Muy Baja",'Administrativo '!$AA$11="Menor"),CONCATENATE("R1C",'Administrativo '!$O$11),"")</f>
        <v/>
      </c>
      <c r="R46" s="64" t="e">
        <f>IF(AND('Administrativo '!#REF!="Muy Baja",'Administrativo '!#REF!="Menor"),CONCATENATE("R1C",'Administrativo '!#REF!),"")</f>
        <v>#REF!</v>
      </c>
      <c r="S46" s="64" t="e">
        <f>IF(AND('Administrativo '!#REF!="Muy Baja",'Administrativo '!#REF!="Menor"),CONCATENATE("R1C",'Administrativo '!#REF!),"")</f>
        <v>#REF!</v>
      </c>
      <c r="T46" s="64" t="e">
        <f>IF(AND('Administrativo '!#REF!="Muy Baja",'Administrativo '!#REF!="Menor"),CONCATENATE("R1C",'Administrativo '!#REF!),"")</f>
        <v>#REF!</v>
      </c>
      <c r="U46" s="65" t="e">
        <f>IF(AND('Administrativo '!#REF!="Muy Baja",'Administrativo '!#REF!="Menor"),CONCATENATE("R1C",'Administrativo '!#REF!),"")</f>
        <v>#REF!</v>
      </c>
      <c r="V46" s="54" t="str">
        <f>IF(AND('Administrativo '!$Y$10="Muy Baja",'Administrativo '!$AA$10="Moderado"),CONCATENATE("R1C",'Administrativo '!$O$10),"")</f>
        <v/>
      </c>
      <c r="W46" s="72" t="str">
        <f>IF(AND('Administrativo '!$Y$11="Muy Baja",'Administrativo '!$AA$11="Moderado"),CONCATENATE("R1C",'Administrativo '!$O$11),"")</f>
        <v/>
      </c>
      <c r="X46" s="55" t="e">
        <f>IF(AND('Administrativo '!#REF!="Muy Baja",'Administrativo '!#REF!="Moderado"),CONCATENATE("R1C",'Administrativo '!#REF!),"")</f>
        <v>#REF!</v>
      </c>
      <c r="Y46" s="55" t="e">
        <f>IF(AND('Administrativo '!#REF!="Muy Baja",'Administrativo '!#REF!="Moderado"),CONCATENATE("R1C",'Administrativo '!#REF!),"")</f>
        <v>#REF!</v>
      </c>
      <c r="Z46" s="55" t="e">
        <f>IF(AND('Administrativo '!#REF!="Muy Baja",'Administrativo '!#REF!="Moderado"),CONCATENATE("R1C",'Administrativo '!#REF!),"")</f>
        <v>#REF!</v>
      </c>
      <c r="AA46" s="56" t="e">
        <f>IF(AND('Administrativo '!#REF!="Muy Baja",'Administrativo '!#REF!="Moderado"),CONCATENATE("R1C",'Administrativo '!#REF!),"")</f>
        <v>#REF!</v>
      </c>
      <c r="AB46" s="36" t="str">
        <f>IF(AND('Administrativo '!$Y$10="Muy Baja",'Administrativo '!$AA$10="Mayor"),CONCATENATE("R1C",'Administrativo '!$O$10),"")</f>
        <v/>
      </c>
      <c r="AC46" s="37" t="str">
        <f>IF(AND('Administrativo '!$Y$11="Muy Baja",'Administrativo '!$AA$11="Mayor"),CONCATENATE("R1C",'Administrativo '!$O$11),"")</f>
        <v/>
      </c>
      <c r="AD46" s="37" t="e">
        <f>IF(AND('Administrativo '!#REF!="Muy Baja",'Administrativo '!#REF!="Mayor"),CONCATENATE("R1C",'Administrativo '!#REF!),"")</f>
        <v>#REF!</v>
      </c>
      <c r="AE46" s="37" t="e">
        <f>IF(AND('Administrativo '!#REF!="Muy Baja",'Administrativo '!#REF!="Mayor"),CONCATENATE("R1C",'Administrativo '!#REF!),"")</f>
        <v>#REF!</v>
      </c>
      <c r="AF46" s="37" t="e">
        <f>IF(AND('Administrativo '!#REF!="Muy Baja",'Administrativo '!#REF!="Mayor"),CONCATENATE("R1C",'Administrativo '!#REF!),"")</f>
        <v>#REF!</v>
      </c>
      <c r="AG46" s="38" t="e">
        <f>IF(AND('Administrativo '!#REF!="Muy Baja",'Administrativo '!#REF!="Mayor"),CONCATENATE("R1C",'Administrativo '!#REF!),"")</f>
        <v>#REF!</v>
      </c>
      <c r="AH46" s="39" t="str">
        <f>IF(AND('Administrativo '!$Y$10="Muy Baja",'Administrativo '!$AA$10="Catastrófico"),CONCATENATE("R1C",'Administrativo '!$O$10),"")</f>
        <v/>
      </c>
      <c r="AI46" s="40" t="str">
        <f>IF(AND('Administrativo '!$Y$11="Muy Baja",'Administrativo '!$AA$11="Catastrófico"),CONCATENATE("R1C",'Administrativo '!$O$11),"")</f>
        <v/>
      </c>
      <c r="AJ46" s="40" t="e">
        <f>IF(AND('Administrativo '!#REF!="Muy Baja",'Administrativo '!#REF!="Catastrófico"),CONCATENATE("R1C",'Administrativo '!#REF!),"")</f>
        <v>#REF!</v>
      </c>
      <c r="AK46" s="40" t="e">
        <f>IF(AND('Administrativo '!#REF!="Muy Baja",'Administrativo '!#REF!="Catastrófico"),CONCATENATE("R1C",'Administrativo '!#REF!),"")</f>
        <v>#REF!</v>
      </c>
      <c r="AL46" s="40" t="e">
        <f>IF(AND('Administrativo '!#REF!="Muy Baja",'Administrativo '!#REF!="Catastrófico"),CONCATENATE("R1C",'Administrativo '!#REF!),"")</f>
        <v>#REF!</v>
      </c>
      <c r="AM46" s="41" t="e">
        <f>IF(AND('Administrativo '!#REF!="Muy Baja",'Administrativo '!#REF!="Catastrófico"),CONCATENATE("R1C",'Administrativo '!#REF!),"")</f>
        <v>#REF!</v>
      </c>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row>
    <row r="47" spans="1:80" ht="46.5" customHeight="1" x14ac:dyDescent="0.25">
      <c r="A47" s="73"/>
      <c r="B47" s="773"/>
      <c r="C47" s="773"/>
      <c r="D47" s="774"/>
      <c r="E47" s="830"/>
      <c r="F47" s="815"/>
      <c r="G47" s="815"/>
      <c r="H47" s="815"/>
      <c r="I47" s="816"/>
      <c r="J47" s="66" t="e">
        <f>IF(AND('Administrativo '!#REF!="Muy Baja",'Administrativo '!#REF!="Leve"),CONCATENATE("R2C",'Administrativo '!#REF!),"")</f>
        <v>#REF!</v>
      </c>
      <c r="K47" s="67" t="e">
        <f>IF(AND('Administrativo '!#REF!="Muy Baja",'Administrativo '!#REF!="Leve"),CONCATENATE("R2C",'Administrativo '!#REF!),"")</f>
        <v>#REF!</v>
      </c>
      <c r="L47" s="67" t="e">
        <f>IF(AND('Administrativo '!#REF!="Muy Baja",'Administrativo '!#REF!="Leve"),CONCATENATE("R2C",'Administrativo '!#REF!),"")</f>
        <v>#REF!</v>
      </c>
      <c r="M47" s="67" t="e">
        <f>IF(AND('Administrativo '!#REF!="Muy Baja",'Administrativo '!#REF!="Leve"),CONCATENATE("R2C",'Administrativo '!#REF!),"")</f>
        <v>#REF!</v>
      </c>
      <c r="N47" s="67" t="e">
        <f>IF(AND('Administrativo '!#REF!="Muy Baja",'Administrativo '!#REF!="Leve"),CONCATENATE("R2C",'Administrativo '!#REF!),"")</f>
        <v>#REF!</v>
      </c>
      <c r="O47" s="68" t="e">
        <f>IF(AND('Administrativo '!#REF!="Muy Baja",'Administrativo '!#REF!="Leve"),CONCATENATE("R2C",'Administrativo '!#REF!),"")</f>
        <v>#REF!</v>
      </c>
      <c r="P47" s="66" t="e">
        <f>IF(AND('Administrativo '!#REF!="Muy Baja",'Administrativo '!#REF!="Menor"),CONCATENATE("R2C",'Administrativo '!#REF!),"")</f>
        <v>#REF!</v>
      </c>
      <c r="Q47" s="67" t="e">
        <f>IF(AND('Administrativo '!#REF!="Muy Baja",'Administrativo '!#REF!="Menor"),CONCATENATE("R2C",'Administrativo '!#REF!),"")</f>
        <v>#REF!</v>
      </c>
      <c r="R47" s="67" t="e">
        <f>IF(AND('Administrativo '!#REF!="Muy Baja",'Administrativo '!#REF!="Menor"),CONCATENATE("R2C",'Administrativo '!#REF!),"")</f>
        <v>#REF!</v>
      </c>
      <c r="S47" s="67" t="e">
        <f>IF(AND('Administrativo '!#REF!="Muy Baja",'Administrativo '!#REF!="Menor"),CONCATENATE("R2C",'Administrativo '!#REF!),"")</f>
        <v>#REF!</v>
      </c>
      <c r="T47" s="67" t="e">
        <f>IF(AND('Administrativo '!#REF!="Muy Baja",'Administrativo '!#REF!="Menor"),CONCATENATE("R2C",'Administrativo '!#REF!),"")</f>
        <v>#REF!</v>
      </c>
      <c r="U47" s="68" t="e">
        <f>IF(AND('Administrativo '!#REF!="Muy Baja",'Administrativo '!#REF!="Menor"),CONCATENATE("R2C",'Administrativo '!#REF!),"")</f>
        <v>#REF!</v>
      </c>
      <c r="V47" s="57" t="e">
        <f>IF(AND('Administrativo '!#REF!="Muy Baja",'Administrativo '!#REF!="Moderado"),CONCATENATE("R2C",'Administrativo '!#REF!),"")</f>
        <v>#REF!</v>
      </c>
      <c r="W47" s="58" t="e">
        <f>IF(AND('Administrativo '!#REF!="Muy Baja",'Administrativo '!#REF!="Moderado"),CONCATENATE("R2C",'Administrativo '!#REF!),"")</f>
        <v>#REF!</v>
      </c>
      <c r="X47" s="58" t="e">
        <f>IF(AND('Administrativo '!#REF!="Muy Baja",'Administrativo '!#REF!="Moderado"),CONCATENATE("R2C",'Administrativo '!#REF!),"")</f>
        <v>#REF!</v>
      </c>
      <c r="Y47" s="58" t="e">
        <f>IF(AND('Administrativo '!#REF!="Muy Baja",'Administrativo '!#REF!="Moderado"),CONCATENATE("R2C",'Administrativo '!#REF!),"")</f>
        <v>#REF!</v>
      </c>
      <c r="Z47" s="58" t="e">
        <f>IF(AND('Administrativo '!#REF!="Muy Baja",'Administrativo '!#REF!="Moderado"),CONCATENATE("R2C",'Administrativo '!#REF!),"")</f>
        <v>#REF!</v>
      </c>
      <c r="AA47" s="59" t="e">
        <f>IF(AND('Administrativo '!#REF!="Muy Baja",'Administrativo '!#REF!="Moderado"),CONCATENATE("R2C",'Administrativo '!#REF!),"")</f>
        <v>#REF!</v>
      </c>
      <c r="AB47" s="42" t="e">
        <f>IF(AND('Administrativo '!#REF!="Muy Baja",'Administrativo '!#REF!="Mayor"),CONCATENATE("R2C",'Administrativo '!#REF!),"")</f>
        <v>#REF!</v>
      </c>
      <c r="AC47" s="43" t="e">
        <f>IF(AND('Administrativo '!#REF!="Muy Baja",'Administrativo '!#REF!="Mayor"),CONCATENATE("R2C",'Administrativo '!#REF!),"")</f>
        <v>#REF!</v>
      </c>
      <c r="AD47" s="43" t="e">
        <f>IF(AND('Administrativo '!#REF!="Muy Baja",'Administrativo '!#REF!="Mayor"),CONCATENATE("R2C",'Administrativo '!#REF!),"")</f>
        <v>#REF!</v>
      </c>
      <c r="AE47" s="43" t="e">
        <f>IF(AND('Administrativo '!#REF!="Muy Baja",'Administrativo '!#REF!="Mayor"),CONCATENATE("R2C",'Administrativo '!#REF!),"")</f>
        <v>#REF!</v>
      </c>
      <c r="AF47" s="43" t="e">
        <f>IF(AND('Administrativo '!#REF!="Muy Baja",'Administrativo '!#REF!="Mayor"),CONCATENATE("R2C",'Administrativo '!#REF!),"")</f>
        <v>#REF!</v>
      </c>
      <c r="AG47" s="44" t="e">
        <f>IF(AND('Administrativo '!#REF!="Muy Baja",'Administrativo '!#REF!="Mayor"),CONCATENATE("R2C",'Administrativo '!#REF!),"")</f>
        <v>#REF!</v>
      </c>
      <c r="AH47" s="45" t="e">
        <f>IF(AND('Administrativo '!#REF!="Muy Baja",'Administrativo '!#REF!="Catastrófico"),CONCATENATE("R2C",'Administrativo '!#REF!),"")</f>
        <v>#REF!</v>
      </c>
      <c r="AI47" s="46" t="e">
        <f>IF(AND('Administrativo '!#REF!="Muy Baja",'Administrativo '!#REF!="Catastrófico"),CONCATENATE("R2C",'Administrativo '!#REF!),"")</f>
        <v>#REF!</v>
      </c>
      <c r="AJ47" s="46" t="e">
        <f>IF(AND('Administrativo '!#REF!="Muy Baja",'Administrativo '!#REF!="Catastrófico"),CONCATENATE("R2C",'Administrativo '!#REF!),"")</f>
        <v>#REF!</v>
      </c>
      <c r="AK47" s="46" t="e">
        <f>IF(AND('Administrativo '!#REF!="Muy Baja",'Administrativo '!#REF!="Catastrófico"),CONCATENATE("R2C",'Administrativo '!#REF!),"")</f>
        <v>#REF!</v>
      </c>
      <c r="AL47" s="46" t="e">
        <f>IF(AND('Administrativo '!#REF!="Muy Baja",'Administrativo '!#REF!="Catastrófico"),CONCATENATE("R2C",'Administrativo '!#REF!),"")</f>
        <v>#REF!</v>
      </c>
      <c r="AM47" s="47" t="e">
        <f>IF(AND('Administrativo '!#REF!="Muy Baja",'Administrativo '!#REF!="Catastrófico"),CONCATENATE("R2C",'Administrativo '!#REF!),"")</f>
        <v>#REF!</v>
      </c>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row>
    <row r="48" spans="1:80" ht="15" customHeight="1" x14ac:dyDescent="0.25">
      <c r="A48" s="73"/>
      <c r="B48" s="773"/>
      <c r="C48" s="773"/>
      <c r="D48" s="774"/>
      <c r="E48" s="830"/>
      <c r="F48" s="815"/>
      <c r="G48" s="815"/>
      <c r="H48" s="815"/>
      <c r="I48" s="816"/>
      <c r="J48" s="66" t="e">
        <f>IF(AND('Administrativo '!#REF!="Muy Baja",'Administrativo '!#REF!="Leve"),CONCATENATE("R3C",'Administrativo '!#REF!),"")</f>
        <v>#REF!</v>
      </c>
      <c r="K48" s="67" t="e">
        <f>IF(AND('Administrativo '!#REF!="Muy Baja",'Administrativo '!#REF!="Leve"),CONCATENATE("R3C",'Administrativo '!#REF!),"")</f>
        <v>#REF!</v>
      </c>
      <c r="L48" s="67" t="e">
        <f>IF(AND('Administrativo '!#REF!="Muy Baja",'Administrativo '!#REF!="Leve"),CONCATENATE("R3C",'Administrativo '!#REF!),"")</f>
        <v>#REF!</v>
      </c>
      <c r="M48" s="67" t="e">
        <f>IF(AND('Administrativo '!#REF!="Muy Baja",'Administrativo '!#REF!="Leve"),CONCATENATE("R3C",'Administrativo '!#REF!),"")</f>
        <v>#REF!</v>
      </c>
      <c r="N48" s="67" t="e">
        <f>IF(AND('Administrativo '!#REF!="Muy Baja",'Administrativo '!#REF!="Leve"),CONCATENATE("R3C",'Administrativo '!#REF!),"")</f>
        <v>#REF!</v>
      </c>
      <c r="O48" s="68" t="e">
        <f>IF(AND('Administrativo '!#REF!="Muy Baja",'Administrativo '!#REF!="Leve"),CONCATENATE("R3C",'Administrativo '!#REF!),"")</f>
        <v>#REF!</v>
      </c>
      <c r="P48" s="66" t="e">
        <f>IF(AND('Administrativo '!#REF!="Muy Baja",'Administrativo '!#REF!="Menor"),CONCATENATE("R3C",'Administrativo '!#REF!),"")</f>
        <v>#REF!</v>
      </c>
      <c r="Q48" s="67" t="e">
        <f>IF(AND('Administrativo '!#REF!="Muy Baja",'Administrativo '!#REF!="Menor"),CONCATENATE("R3C",'Administrativo '!#REF!),"")</f>
        <v>#REF!</v>
      </c>
      <c r="R48" s="67" t="e">
        <f>IF(AND('Administrativo '!#REF!="Muy Baja",'Administrativo '!#REF!="Menor"),CONCATENATE("R3C",'Administrativo '!#REF!),"")</f>
        <v>#REF!</v>
      </c>
      <c r="S48" s="67" t="e">
        <f>IF(AND('Administrativo '!#REF!="Muy Baja",'Administrativo '!#REF!="Menor"),CONCATENATE("R3C",'Administrativo '!#REF!),"")</f>
        <v>#REF!</v>
      </c>
      <c r="T48" s="67" t="e">
        <f>IF(AND('Administrativo '!#REF!="Muy Baja",'Administrativo '!#REF!="Menor"),CONCATENATE("R3C",'Administrativo '!#REF!),"")</f>
        <v>#REF!</v>
      </c>
      <c r="U48" s="68" t="e">
        <f>IF(AND('Administrativo '!#REF!="Muy Baja",'Administrativo '!#REF!="Menor"),CONCATENATE("R3C",'Administrativo '!#REF!),"")</f>
        <v>#REF!</v>
      </c>
      <c r="V48" s="57" t="e">
        <f>IF(AND('Administrativo '!#REF!="Muy Baja",'Administrativo '!#REF!="Moderado"),CONCATENATE("R3C",'Administrativo '!#REF!),"")</f>
        <v>#REF!</v>
      </c>
      <c r="W48" s="58" t="e">
        <f>IF(AND('Administrativo '!#REF!="Muy Baja",'Administrativo '!#REF!="Moderado"),CONCATENATE("R3C",'Administrativo '!#REF!),"")</f>
        <v>#REF!</v>
      </c>
      <c r="X48" s="58" t="e">
        <f>IF(AND('Administrativo '!#REF!="Muy Baja",'Administrativo '!#REF!="Moderado"),CONCATENATE("R3C",'Administrativo '!#REF!),"")</f>
        <v>#REF!</v>
      </c>
      <c r="Y48" s="58" t="e">
        <f>IF(AND('Administrativo '!#REF!="Muy Baja",'Administrativo '!#REF!="Moderado"),CONCATENATE("R3C",'Administrativo '!#REF!),"")</f>
        <v>#REF!</v>
      </c>
      <c r="Z48" s="58" t="e">
        <f>IF(AND('Administrativo '!#REF!="Muy Baja",'Administrativo '!#REF!="Moderado"),CONCATENATE("R3C",'Administrativo '!#REF!),"")</f>
        <v>#REF!</v>
      </c>
      <c r="AA48" s="59" t="e">
        <f>IF(AND('Administrativo '!#REF!="Muy Baja",'Administrativo '!#REF!="Moderado"),CONCATENATE("R3C",'Administrativo '!#REF!),"")</f>
        <v>#REF!</v>
      </c>
      <c r="AB48" s="42" t="e">
        <f>IF(AND('Administrativo '!#REF!="Muy Baja",'Administrativo '!#REF!="Mayor"),CONCATENATE("R3C",'Administrativo '!#REF!),"")</f>
        <v>#REF!</v>
      </c>
      <c r="AC48" s="43" t="e">
        <f>IF(AND('Administrativo '!#REF!="Muy Baja",'Administrativo '!#REF!="Mayor"),CONCATENATE("R3C",'Administrativo '!#REF!),"")</f>
        <v>#REF!</v>
      </c>
      <c r="AD48" s="43" t="e">
        <f>IF(AND('Administrativo '!#REF!="Muy Baja",'Administrativo '!#REF!="Mayor"),CONCATENATE("R3C",'Administrativo '!#REF!),"")</f>
        <v>#REF!</v>
      </c>
      <c r="AE48" s="43" t="e">
        <f>IF(AND('Administrativo '!#REF!="Muy Baja",'Administrativo '!#REF!="Mayor"),CONCATENATE("R3C",'Administrativo '!#REF!),"")</f>
        <v>#REF!</v>
      </c>
      <c r="AF48" s="43" t="e">
        <f>IF(AND('Administrativo '!#REF!="Muy Baja",'Administrativo '!#REF!="Mayor"),CONCATENATE("R3C",'Administrativo '!#REF!),"")</f>
        <v>#REF!</v>
      </c>
      <c r="AG48" s="44" t="e">
        <f>IF(AND('Administrativo '!#REF!="Muy Baja",'Administrativo '!#REF!="Mayor"),CONCATENATE("R3C",'Administrativo '!#REF!),"")</f>
        <v>#REF!</v>
      </c>
      <c r="AH48" s="45" t="e">
        <f>IF(AND('Administrativo '!#REF!="Muy Baja",'Administrativo '!#REF!="Catastrófico"),CONCATENATE("R3C",'Administrativo '!#REF!),"")</f>
        <v>#REF!</v>
      </c>
      <c r="AI48" s="46" t="e">
        <f>IF(AND('Administrativo '!#REF!="Muy Baja",'Administrativo '!#REF!="Catastrófico"),CONCATENATE("R3C",'Administrativo '!#REF!),"")</f>
        <v>#REF!</v>
      </c>
      <c r="AJ48" s="46" t="e">
        <f>IF(AND('Administrativo '!#REF!="Muy Baja",'Administrativo '!#REF!="Catastrófico"),CONCATENATE("R3C",'Administrativo '!#REF!),"")</f>
        <v>#REF!</v>
      </c>
      <c r="AK48" s="46" t="e">
        <f>IF(AND('Administrativo '!#REF!="Muy Baja",'Administrativo '!#REF!="Catastrófico"),CONCATENATE("R3C",'Administrativo '!#REF!),"")</f>
        <v>#REF!</v>
      </c>
      <c r="AL48" s="46" t="e">
        <f>IF(AND('Administrativo '!#REF!="Muy Baja",'Administrativo '!#REF!="Catastrófico"),CONCATENATE("R3C",'Administrativo '!#REF!),"")</f>
        <v>#REF!</v>
      </c>
      <c r="AM48" s="47" t="e">
        <f>IF(AND('Administrativo '!#REF!="Muy Baja",'Administrativo '!#REF!="Catastrófico"),CONCATENATE("R3C",'Administrativo '!#REF!),"")</f>
        <v>#REF!</v>
      </c>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row>
    <row r="49" spans="1:80" ht="15" customHeight="1" x14ac:dyDescent="0.25">
      <c r="A49" s="73"/>
      <c r="B49" s="773"/>
      <c r="C49" s="773"/>
      <c r="D49" s="774"/>
      <c r="E49" s="814"/>
      <c r="F49" s="815"/>
      <c r="G49" s="815"/>
      <c r="H49" s="815"/>
      <c r="I49" s="816"/>
      <c r="J49" s="66" t="e">
        <f>IF(AND('Administrativo '!#REF!="Muy Baja",'Administrativo '!#REF!="Leve"),CONCATENATE("R4C",'Administrativo '!#REF!),"")</f>
        <v>#REF!</v>
      </c>
      <c r="K49" s="67" t="e">
        <f>IF(AND('Administrativo '!#REF!="Muy Baja",'Administrativo '!#REF!="Leve"),CONCATENATE("R4C",'Administrativo '!#REF!),"")</f>
        <v>#REF!</v>
      </c>
      <c r="L49" s="67" t="e">
        <f>IF(AND('Administrativo '!#REF!="Muy Baja",'Administrativo '!#REF!="Leve"),CONCATENATE("R4C",'Administrativo '!#REF!),"")</f>
        <v>#REF!</v>
      </c>
      <c r="M49" s="67" t="e">
        <f>IF(AND('Administrativo '!#REF!="Muy Baja",'Administrativo '!#REF!="Leve"),CONCATENATE("R4C",'Administrativo '!#REF!),"")</f>
        <v>#REF!</v>
      </c>
      <c r="N49" s="67" t="e">
        <f>IF(AND('Administrativo '!#REF!="Muy Baja",'Administrativo '!#REF!="Leve"),CONCATENATE("R4C",'Administrativo '!#REF!),"")</f>
        <v>#REF!</v>
      </c>
      <c r="O49" s="68" t="e">
        <f>IF(AND('Administrativo '!#REF!="Muy Baja",'Administrativo '!#REF!="Leve"),CONCATENATE("R4C",'Administrativo '!#REF!),"")</f>
        <v>#REF!</v>
      </c>
      <c r="P49" s="66" t="e">
        <f>IF(AND('Administrativo '!#REF!="Muy Baja",'Administrativo '!#REF!="Menor"),CONCATENATE("R4C",'Administrativo '!#REF!),"")</f>
        <v>#REF!</v>
      </c>
      <c r="Q49" s="67" t="e">
        <f>IF(AND('Administrativo '!#REF!="Muy Baja",'Administrativo '!#REF!="Menor"),CONCATENATE("R4C",'Administrativo '!#REF!),"")</f>
        <v>#REF!</v>
      </c>
      <c r="R49" s="67" t="e">
        <f>IF(AND('Administrativo '!#REF!="Muy Baja",'Administrativo '!#REF!="Menor"),CONCATENATE("R4C",'Administrativo '!#REF!),"")</f>
        <v>#REF!</v>
      </c>
      <c r="S49" s="67" t="e">
        <f>IF(AND('Administrativo '!#REF!="Muy Baja",'Administrativo '!#REF!="Menor"),CONCATENATE("R4C",'Administrativo '!#REF!),"")</f>
        <v>#REF!</v>
      </c>
      <c r="T49" s="67" t="e">
        <f>IF(AND('Administrativo '!#REF!="Muy Baja",'Administrativo '!#REF!="Menor"),CONCATENATE("R4C",'Administrativo '!#REF!),"")</f>
        <v>#REF!</v>
      </c>
      <c r="U49" s="68" t="e">
        <f>IF(AND('Administrativo '!#REF!="Muy Baja",'Administrativo '!#REF!="Menor"),CONCATENATE("R4C",'Administrativo '!#REF!),"")</f>
        <v>#REF!</v>
      </c>
      <c r="V49" s="57" t="e">
        <f>IF(AND('Administrativo '!#REF!="Muy Baja",'Administrativo '!#REF!="Moderado"),CONCATENATE("R4C",'Administrativo '!#REF!),"")</f>
        <v>#REF!</v>
      </c>
      <c r="W49" s="58" t="e">
        <f>IF(AND('Administrativo '!#REF!="Muy Baja",'Administrativo '!#REF!="Moderado"),CONCATENATE("R4C",'Administrativo '!#REF!),"")</f>
        <v>#REF!</v>
      </c>
      <c r="X49" s="58" t="e">
        <f>IF(AND('Administrativo '!#REF!="Muy Baja",'Administrativo '!#REF!="Moderado"),CONCATENATE("R4C",'Administrativo '!#REF!),"")</f>
        <v>#REF!</v>
      </c>
      <c r="Y49" s="58" t="e">
        <f>IF(AND('Administrativo '!#REF!="Muy Baja",'Administrativo '!#REF!="Moderado"),CONCATENATE("R4C",'Administrativo '!#REF!),"")</f>
        <v>#REF!</v>
      </c>
      <c r="Z49" s="58" t="e">
        <f>IF(AND('Administrativo '!#REF!="Muy Baja",'Administrativo '!#REF!="Moderado"),CONCATENATE("R4C",'Administrativo '!#REF!),"")</f>
        <v>#REF!</v>
      </c>
      <c r="AA49" s="59" t="e">
        <f>IF(AND('Administrativo '!#REF!="Muy Baja",'Administrativo '!#REF!="Moderado"),CONCATENATE("R4C",'Administrativo '!#REF!),"")</f>
        <v>#REF!</v>
      </c>
      <c r="AB49" s="42" t="e">
        <f>IF(AND('Administrativo '!#REF!="Muy Baja",'Administrativo '!#REF!="Mayor"),CONCATENATE("R4C",'Administrativo '!#REF!),"")</f>
        <v>#REF!</v>
      </c>
      <c r="AC49" s="43" t="e">
        <f>IF(AND('Administrativo '!#REF!="Muy Baja",'Administrativo '!#REF!="Mayor"),CONCATENATE("R4C",'Administrativo '!#REF!),"")</f>
        <v>#REF!</v>
      </c>
      <c r="AD49" s="43" t="e">
        <f>IF(AND('Administrativo '!#REF!="Muy Baja",'Administrativo '!#REF!="Mayor"),CONCATENATE("R4C",'Administrativo '!#REF!),"")</f>
        <v>#REF!</v>
      </c>
      <c r="AE49" s="43" t="e">
        <f>IF(AND('Administrativo '!#REF!="Muy Baja",'Administrativo '!#REF!="Mayor"),CONCATENATE("R4C",'Administrativo '!#REF!),"")</f>
        <v>#REF!</v>
      </c>
      <c r="AF49" s="43" t="e">
        <f>IF(AND('Administrativo '!#REF!="Muy Baja",'Administrativo '!#REF!="Mayor"),CONCATENATE("R4C",'Administrativo '!#REF!),"")</f>
        <v>#REF!</v>
      </c>
      <c r="AG49" s="44" t="e">
        <f>IF(AND('Administrativo '!#REF!="Muy Baja",'Administrativo '!#REF!="Mayor"),CONCATENATE("R4C",'Administrativo '!#REF!),"")</f>
        <v>#REF!</v>
      </c>
      <c r="AH49" s="45" t="e">
        <f>IF(AND('Administrativo '!#REF!="Muy Baja",'Administrativo '!#REF!="Catastrófico"),CONCATENATE("R4C",'Administrativo '!#REF!),"")</f>
        <v>#REF!</v>
      </c>
      <c r="AI49" s="46" t="e">
        <f>IF(AND('Administrativo '!#REF!="Muy Baja",'Administrativo '!#REF!="Catastrófico"),CONCATENATE("R4C",'Administrativo '!#REF!),"")</f>
        <v>#REF!</v>
      </c>
      <c r="AJ49" s="46" t="e">
        <f>IF(AND('Administrativo '!#REF!="Muy Baja",'Administrativo '!#REF!="Catastrófico"),CONCATENATE("R4C",'Administrativo '!#REF!),"")</f>
        <v>#REF!</v>
      </c>
      <c r="AK49" s="46" t="e">
        <f>IF(AND('Administrativo '!#REF!="Muy Baja",'Administrativo '!#REF!="Catastrófico"),CONCATENATE("R4C",'Administrativo '!#REF!),"")</f>
        <v>#REF!</v>
      </c>
      <c r="AL49" s="46" t="e">
        <f>IF(AND('Administrativo '!#REF!="Muy Baja",'Administrativo '!#REF!="Catastrófico"),CONCATENATE("R4C",'Administrativo '!#REF!),"")</f>
        <v>#REF!</v>
      </c>
      <c r="AM49" s="47" t="e">
        <f>IF(AND('Administrativo '!#REF!="Muy Baja",'Administrativo '!#REF!="Catastrófico"),CONCATENATE("R4C",'Administrativo '!#REF!),"")</f>
        <v>#REF!</v>
      </c>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row>
    <row r="50" spans="1:80" ht="15" customHeight="1" x14ac:dyDescent="0.25">
      <c r="A50" s="73"/>
      <c r="B50" s="773"/>
      <c r="C50" s="773"/>
      <c r="D50" s="774"/>
      <c r="E50" s="814"/>
      <c r="F50" s="815"/>
      <c r="G50" s="815"/>
      <c r="H50" s="815"/>
      <c r="I50" s="816"/>
      <c r="J50" s="66" t="e">
        <f>IF(AND('Administrativo '!#REF!="Muy Baja",'Administrativo '!#REF!="Leve"),CONCATENATE("R5C",'Administrativo '!#REF!),"")</f>
        <v>#REF!</v>
      </c>
      <c r="K50" s="67" t="e">
        <f>IF(AND('Administrativo '!#REF!="Muy Baja",'Administrativo '!#REF!="Leve"),CONCATENATE("R5C",'Administrativo '!#REF!),"")</f>
        <v>#REF!</v>
      </c>
      <c r="L50" s="67" t="e">
        <f>IF(AND('Administrativo '!#REF!="Muy Baja",'Administrativo '!#REF!="Leve"),CONCATENATE("R5C",'Administrativo '!#REF!),"")</f>
        <v>#REF!</v>
      </c>
      <c r="M50" s="67" t="e">
        <f>IF(AND('Administrativo '!#REF!="Muy Baja",'Administrativo '!#REF!="Leve"),CONCATENATE("R5C",'Administrativo '!#REF!),"")</f>
        <v>#REF!</v>
      </c>
      <c r="N50" s="67" t="e">
        <f>IF(AND('Administrativo '!#REF!="Muy Baja",'Administrativo '!#REF!="Leve"),CONCATENATE("R5C",'Administrativo '!#REF!),"")</f>
        <v>#REF!</v>
      </c>
      <c r="O50" s="68" t="e">
        <f>IF(AND('Administrativo '!#REF!="Muy Baja",'Administrativo '!#REF!="Leve"),CONCATENATE("R5C",'Administrativo '!#REF!),"")</f>
        <v>#REF!</v>
      </c>
      <c r="P50" s="66" t="e">
        <f>IF(AND('Administrativo '!#REF!="Muy Baja",'Administrativo '!#REF!="Menor"),CONCATENATE("R5C",'Administrativo '!#REF!),"")</f>
        <v>#REF!</v>
      </c>
      <c r="Q50" s="67" t="e">
        <f>IF(AND('Administrativo '!#REF!="Muy Baja",'Administrativo '!#REF!="Menor"),CONCATENATE("R5C",'Administrativo '!#REF!),"")</f>
        <v>#REF!</v>
      </c>
      <c r="R50" s="67" t="e">
        <f>IF(AND('Administrativo '!#REF!="Muy Baja",'Administrativo '!#REF!="Menor"),CONCATENATE("R5C",'Administrativo '!#REF!),"")</f>
        <v>#REF!</v>
      </c>
      <c r="S50" s="67" t="e">
        <f>IF(AND('Administrativo '!#REF!="Muy Baja",'Administrativo '!#REF!="Menor"),CONCATENATE("R5C",'Administrativo '!#REF!),"")</f>
        <v>#REF!</v>
      </c>
      <c r="T50" s="67" t="e">
        <f>IF(AND('Administrativo '!#REF!="Muy Baja",'Administrativo '!#REF!="Menor"),CONCATENATE("R5C",'Administrativo '!#REF!),"")</f>
        <v>#REF!</v>
      </c>
      <c r="U50" s="68" t="e">
        <f>IF(AND('Administrativo '!#REF!="Muy Baja",'Administrativo '!#REF!="Menor"),CONCATENATE("R5C",'Administrativo '!#REF!),"")</f>
        <v>#REF!</v>
      </c>
      <c r="V50" s="57" t="e">
        <f>IF(AND('Administrativo '!#REF!="Muy Baja",'Administrativo '!#REF!="Moderado"),CONCATENATE("R5C",'Administrativo '!#REF!),"")</f>
        <v>#REF!</v>
      </c>
      <c r="W50" s="58" t="e">
        <f>IF(AND('Administrativo '!#REF!="Muy Baja",'Administrativo '!#REF!="Moderado"),CONCATENATE("R5C",'Administrativo '!#REF!),"")</f>
        <v>#REF!</v>
      </c>
      <c r="X50" s="58" t="e">
        <f>IF(AND('Administrativo '!#REF!="Muy Baja",'Administrativo '!#REF!="Moderado"),CONCATENATE("R5C",'Administrativo '!#REF!),"")</f>
        <v>#REF!</v>
      </c>
      <c r="Y50" s="58" t="e">
        <f>IF(AND('Administrativo '!#REF!="Muy Baja",'Administrativo '!#REF!="Moderado"),CONCATENATE("R5C",'Administrativo '!#REF!),"")</f>
        <v>#REF!</v>
      </c>
      <c r="Z50" s="58" t="e">
        <f>IF(AND('Administrativo '!#REF!="Muy Baja",'Administrativo '!#REF!="Moderado"),CONCATENATE("R5C",'Administrativo '!#REF!),"")</f>
        <v>#REF!</v>
      </c>
      <c r="AA50" s="59" t="e">
        <f>IF(AND('Administrativo '!#REF!="Muy Baja",'Administrativo '!#REF!="Moderado"),CONCATENATE("R5C",'Administrativo '!#REF!),"")</f>
        <v>#REF!</v>
      </c>
      <c r="AB50" s="42" t="e">
        <f>IF(AND('Administrativo '!#REF!="Muy Baja",'Administrativo '!#REF!="Mayor"),CONCATENATE("R5C",'Administrativo '!#REF!),"")</f>
        <v>#REF!</v>
      </c>
      <c r="AC50" s="43" t="e">
        <f>IF(AND('Administrativo '!#REF!="Muy Baja",'Administrativo '!#REF!="Mayor"),CONCATENATE("R5C",'Administrativo '!#REF!),"")</f>
        <v>#REF!</v>
      </c>
      <c r="AD50" s="43" t="e">
        <f>IF(AND('Administrativo '!#REF!="Muy Baja",'Administrativo '!#REF!="Mayor"),CONCATENATE("R5C",'Administrativo '!#REF!),"")</f>
        <v>#REF!</v>
      </c>
      <c r="AE50" s="43" t="e">
        <f>IF(AND('Administrativo '!#REF!="Muy Baja",'Administrativo '!#REF!="Mayor"),CONCATENATE("R5C",'Administrativo '!#REF!),"")</f>
        <v>#REF!</v>
      </c>
      <c r="AF50" s="43" t="e">
        <f>IF(AND('Administrativo '!#REF!="Muy Baja",'Administrativo '!#REF!="Mayor"),CONCATENATE("R5C",'Administrativo '!#REF!),"")</f>
        <v>#REF!</v>
      </c>
      <c r="AG50" s="44" t="e">
        <f>IF(AND('Administrativo '!#REF!="Muy Baja",'Administrativo '!#REF!="Mayor"),CONCATENATE("R5C",'Administrativo '!#REF!),"")</f>
        <v>#REF!</v>
      </c>
      <c r="AH50" s="45" t="e">
        <f>IF(AND('Administrativo '!#REF!="Muy Baja",'Administrativo '!#REF!="Catastrófico"),CONCATENATE("R5C",'Administrativo '!#REF!),"")</f>
        <v>#REF!</v>
      </c>
      <c r="AI50" s="46" t="e">
        <f>IF(AND('Administrativo '!#REF!="Muy Baja",'Administrativo '!#REF!="Catastrófico"),CONCATENATE("R5C",'Administrativo '!#REF!),"")</f>
        <v>#REF!</v>
      </c>
      <c r="AJ50" s="46" t="e">
        <f>IF(AND('Administrativo '!#REF!="Muy Baja",'Administrativo '!#REF!="Catastrófico"),CONCATENATE("R5C",'Administrativo '!#REF!),"")</f>
        <v>#REF!</v>
      </c>
      <c r="AK50" s="46" t="e">
        <f>IF(AND('Administrativo '!#REF!="Muy Baja",'Administrativo '!#REF!="Catastrófico"),CONCATENATE("R5C",'Administrativo '!#REF!),"")</f>
        <v>#REF!</v>
      </c>
      <c r="AL50" s="46" t="e">
        <f>IF(AND('Administrativo '!#REF!="Muy Baja",'Administrativo '!#REF!="Catastrófico"),CONCATENATE("R5C",'Administrativo '!#REF!),"")</f>
        <v>#REF!</v>
      </c>
      <c r="AM50" s="47" t="e">
        <f>IF(AND('Administrativo '!#REF!="Muy Baja",'Administrativo '!#REF!="Catastrófico"),CONCATENATE("R5C",'Administrativo '!#REF!),"")</f>
        <v>#REF!</v>
      </c>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row>
    <row r="51" spans="1:80" ht="15" customHeight="1" x14ac:dyDescent="0.25">
      <c r="A51" s="73"/>
      <c r="B51" s="773"/>
      <c r="C51" s="773"/>
      <c r="D51" s="774"/>
      <c r="E51" s="814"/>
      <c r="F51" s="815"/>
      <c r="G51" s="815"/>
      <c r="H51" s="815"/>
      <c r="I51" s="816"/>
      <c r="J51" s="66" t="e">
        <f>IF(AND('Administrativo '!#REF!="Muy Baja",'Administrativo '!#REF!="Leve"),CONCATENATE("R6C",'Administrativo '!#REF!),"")</f>
        <v>#REF!</v>
      </c>
      <c r="K51" s="67" t="e">
        <f>IF(AND('Administrativo '!#REF!="Muy Baja",'Administrativo '!#REF!="Leve"),CONCATENATE("R6C",'Administrativo '!#REF!),"")</f>
        <v>#REF!</v>
      </c>
      <c r="L51" s="67" t="e">
        <f>IF(AND('Administrativo '!#REF!="Muy Baja",'Administrativo '!#REF!="Leve"),CONCATENATE("R6C",'Administrativo '!#REF!),"")</f>
        <v>#REF!</v>
      </c>
      <c r="M51" s="67" t="e">
        <f>IF(AND('Administrativo '!#REF!="Muy Baja",'Administrativo '!#REF!="Leve"),CONCATENATE("R6C",'Administrativo '!#REF!),"")</f>
        <v>#REF!</v>
      </c>
      <c r="N51" s="67" t="e">
        <f>IF(AND('Administrativo '!#REF!="Muy Baja",'Administrativo '!#REF!="Leve"),CONCATENATE("R6C",'Administrativo '!#REF!),"")</f>
        <v>#REF!</v>
      </c>
      <c r="O51" s="68" t="e">
        <f>IF(AND('Administrativo '!#REF!="Muy Baja",'Administrativo '!#REF!="Leve"),CONCATENATE("R6C",'Administrativo '!#REF!),"")</f>
        <v>#REF!</v>
      </c>
      <c r="P51" s="66" t="e">
        <f>IF(AND('Administrativo '!#REF!="Muy Baja",'Administrativo '!#REF!="Menor"),CONCATENATE("R6C",'Administrativo '!#REF!),"")</f>
        <v>#REF!</v>
      </c>
      <c r="Q51" s="67" t="e">
        <f>IF(AND('Administrativo '!#REF!="Muy Baja",'Administrativo '!#REF!="Menor"),CONCATENATE("R6C",'Administrativo '!#REF!),"")</f>
        <v>#REF!</v>
      </c>
      <c r="R51" s="67" t="e">
        <f>IF(AND('Administrativo '!#REF!="Muy Baja",'Administrativo '!#REF!="Menor"),CONCATENATE("R6C",'Administrativo '!#REF!),"")</f>
        <v>#REF!</v>
      </c>
      <c r="S51" s="67" t="e">
        <f>IF(AND('Administrativo '!#REF!="Muy Baja",'Administrativo '!#REF!="Menor"),CONCATENATE("R6C",'Administrativo '!#REF!),"")</f>
        <v>#REF!</v>
      </c>
      <c r="T51" s="67" t="e">
        <f>IF(AND('Administrativo '!#REF!="Muy Baja",'Administrativo '!#REF!="Menor"),CONCATENATE("R6C",'Administrativo '!#REF!),"")</f>
        <v>#REF!</v>
      </c>
      <c r="U51" s="68" t="e">
        <f>IF(AND('Administrativo '!#REF!="Muy Baja",'Administrativo '!#REF!="Menor"),CONCATENATE("R6C",'Administrativo '!#REF!),"")</f>
        <v>#REF!</v>
      </c>
      <c r="V51" s="57" t="e">
        <f>IF(AND('Administrativo '!#REF!="Muy Baja",'Administrativo '!#REF!="Moderado"),CONCATENATE("R6C",'Administrativo '!#REF!),"")</f>
        <v>#REF!</v>
      </c>
      <c r="W51" s="58" t="e">
        <f>IF(AND('Administrativo '!#REF!="Muy Baja",'Administrativo '!#REF!="Moderado"),CONCATENATE("R6C",'Administrativo '!#REF!),"")</f>
        <v>#REF!</v>
      </c>
      <c r="X51" s="58" t="e">
        <f>IF(AND('Administrativo '!#REF!="Muy Baja",'Administrativo '!#REF!="Moderado"),CONCATENATE("R6C",'Administrativo '!#REF!),"")</f>
        <v>#REF!</v>
      </c>
      <c r="Y51" s="58" t="e">
        <f>IF(AND('Administrativo '!#REF!="Muy Baja",'Administrativo '!#REF!="Moderado"),CONCATENATE("R6C",'Administrativo '!#REF!),"")</f>
        <v>#REF!</v>
      </c>
      <c r="Z51" s="58" t="e">
        <f>IF(AND('Administrativo '!#REF!="Muy Baja",'Administrativo '!#REF!="Moderado"),CONCATENATE("R6C",'Administrativo '!#REF!),"")</f>
        <v>#REF!</v>
      </c>
      <c r="AA51" s="59" t="e">
        <f>IF(AND('Administrativo '!#REF!="Muy Baja",'Administrativo '!#REF!="Moderado"),CONCATENATE("R6C",'Administrativo '!#REF!),"")</f>
        <v>#REF!</v>
      </c>
      <c r="AB51" s="42" t="e">
        <f>IF(AND('Administrativo '!#REF!="Muy Baja",'Administrativo '!#REF!="Mayor"),CONCATENATE("R6C",'Administrativo '!#REF!),"")</f>
        <v>#REF!</v>
      </c>
      <c r="AC51" s="43" t="e">
        <f>IF(AND('Administrativo '!#REF!="Muy Baja",'Administrativo '!#REF!="Mayor"),CONCATENATE("R6C",'Administrativo '!#REF!),"")</f>
        <v>#REF!</v>
      </c>
      <c r="AD51" s="43" t="e">
        <f>IF(AND('Administrativo '!#REF!="Muy Baja",'Administrativo '!#REF!="Mayor"),CONCATENATE("R6C",'Administrativo '!#REF!),"")</f>
        <v>#REF!</v>
      </c>
      <c r="AE51" s="43" t="e">
        <f>IF(AND('Administrativo '!#REF!="Muy Baja",'Administrativo '!#REF!="Mayor"),CONCATENATE("R6C",'Administrativo '!#REF!),"")</f>
        <v>#REF!</v>
      </c>
      <c r="AF51" s="43" t="e">
        <f>IF(AND('Administrativo '!#REF!="Muy Baja",'Administrativo '!#REF!="Mayor"),CONCATENATE("R6C",'Administrativo '!#REF!),"")</f>
        <v>#REF!</v>
      </c>
      <c r="AG51" s="44" t="e">
        <f>IF(AND('Administrativo '!#REF!="Muy Baja",'Administrativo '!#REF!="Mayor"),CONCATENATE("R6C",'Administrativo '!#REF!),"")</f>
        <v>#REF!</v>
      </c>
      <c r="AH51" s="45" t="e">
        <f>IF(AND('Administrativo '!#REF!="Muy Baja",'Administrativo '!#REF!="Catastrófico"),CONCATENATE("R6C",'Administrativo '!#REF!),"")</f>
        <v>#REF!</v>
      </c>
      <c r="AI51" s="46" t="e">
        <f>IF(AND('Administrativo '!#REF!="Muy Baja",'Administrativo '!#REF!="Catastrófico"),CONCATENATE("R6C",'Administrativo '!#REF!),"")</f>
        <v>#REF!</v>
      </c>
      <c r="AJ51" s="46" t="e">
        <f>IF(AND('Administrativo '!#REF!="Muy Baja",'Administrativo '!#REF!="Catastrófico"),CONCATENATE("R6C",'Administrativo '!#REF!),"")</f>
        <v>#REF!</v>
      </c>
      <c r="AK51" s="46" t="e">
        <f>IF(AND('Administrativo '!#REF!="Muy Baja",'Administrativo '!#REF!="Catastrófico"),CONCATENATE("R6C",'Administrativo '!#REF!),"")</f>
        <v>#REF!</v>
      </c>
      <c r="AL51" s="46" t="e">
        <f>IF(AND('Administrativo '!#REF!="Muy Baja",'Administrativo '!#REF!="Catastrófico"),CONCATENATE("R6C",'Administrativo '!#REF!),"")</f>
        <v>#REF!</v>
      </c>
      <c r="AM51" s="47" t="e">
        <f>IF(AND('Administrativo '!#REF!="Muy Baja",'Administrativo '!#REF!="Catastrófico"),CONCATENATE("R6C",'Administrativo '!#REF!),"")</f>
        <v>#REF!</v>
      </c>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row>
    <row r="52" spans="1:80" ht="15" customHeight="1" x14ac:dyDescent="0.25">
      <c r="A52" s="73"/>
      <c r="B52" s="773"/>
      <c r="C52" s="773"/>
      <c r="D52" s="774"/>
      <c r="E52" s="814"/>
      <c r="F52" s="815"/>
      <c r="G52" s="815"/>
      <c r="H52" s="815"/>
      <c r="I52" s="816"/>
      <c r="J52" s="66" t="e">
        <f>IF(AND('Administrativo '!#REF!="Muy Baja",'Administrativo '!#REF!="Leve"),CONCATENATE("R7C",'Administrativo '!#REF!),"")</f>
        <v>#REF!</v>
      </c>
      <c r="K52" s="67" t="e">
        <f>IF(AND('Administrativo '!#REF!="Muy Baja",'Administrativo '!#REF!="Leve"),CONCATENATE("R7C",'Administrativo '!#REF!),"")</f>
        <v>#REF!</v>
      </c>
      <c r="L52" s="67" t="e">
        <f>IF(AND('Administrativo '!#REF!="Muy Baja",'Administrativo '!#REF!="Leve"),CONCATENATE("R7C",'Administrativo '!#REF!),"")</f>
        <v>#REF!</v>
      </c>
      <c r="M52" s="67" t="e">
        <f>IF(AND('Administrativo '!#REF!="Muy Baja",'Administrativo '!#REF!="Leve"),CONCATENATE("R7C",'Administrativo '!#REF!),"")</f>
        <v>#REF!</v>
      </c>
      <c r="N52" s="67" t="e">
        <f>IF(AND('Administrativo '!#REF!="Muy Baja",'Administrativo '!#REF!="Leve"),CONCATENATE("R7C",'Administrativo '!#REF!),"")</f>
        <v>#REF!</v>
      </c>
      <c r="O52" s="68" t="e">
        <f>IF(AND('Administrativo '!#REF!="Muy Baja",'Administrativo '!#REF!="Leve"),CONCATENATE("R7C",'Administrativo '!#REF!),"")</f>
        <v>#REF!</v>
      </c>
      <c r="P52" s="66" t="e">
        <f>IF(AND('Administrativo '!#REF!="Muy Baja",'Administrativo '!#REF!="Menor"),CONCATENATE("R7C",'Administrativo '!#REF!),"")</f>
        <v>#REF!</v>
      </c>
      <c r="Q52" s="67" t="e">
        <f>IF(AND('Administrativo '!#REF!="Muy Baja",'Administrativo '!#REF!="Menor"),CONCATENATE("R7C",'Administrativo '!#REF!),"")</f>
        <v>#REF!</v>
      </c>
      <c r="R52" s="67" t="e">
        <f>IF(AND('Administrativo '!#REF!="Muy Baja",'Administrativo '!#REF!="Menor"),CONCATENATE("R7C",'Administrativo '!#REF!),"")</f>
        <v>#REF!</v>
      </c>
      <c r="S52" s="67" t="e">
        <f>IF(AND('Administrativo '!#REF!="Muy Baja",'Administrativo '!#REF!="Menor"),CONCATENATE("R7C",'Administrativo '!#REF!),"")</f>
        <v>#REF!</v>
      </c>
      <c r="T52" s="67" t="e">
        <f>IF(AND('Administrativo '!#REF!="Muy Baja",'Administrativo '!#REF!="Menor"),CONCATENATE("R7C",'Administrativo '!#REF!),"")</f>
        <v>#REF!</v>
      </c>
      <c r="U52" s="68" t="e">
        <f>IF(AND('Administrativo '!#REF!="Muy Baja",'Administrativo '!#REF!="Menor"),CONCATENATE("R7C",'Administrativo '!#REF!),"")</f>
        <v>#REF!</v>
      </c>
      <c r="V52" s="57" t="e">
        <f>IF(AND('Administrativo '!#REF!="Muy Baja",'Administrativo '!#REF!="Moderado"),CONCATENATE("R7C",'Administrativo '!#REF!),"")</f>
        <v>#REF!</v>
      </c>
      <c r="W52" s="58" t="e">
        <f>IF(AND('Administrativo '!#REF!="Muy Baja",'Administrativo '!#REF!="Moderado"),CONCATENATE("R7C",'Administrativo '!#REF!),"")</f>
        <v>#REF!</v>
      </c>
      <c r="X52" s="58" t="e">
        <f>IF(AND('Administrativo '!#REF!="Muy Baja",'Administrativo '!#REF!="Moderado"),CONCATENATE("R7C",'Administrativo '!#REF!),"")</f>
        <v>#REF!</v>
      </c>
      <c r="Y52" s="58" t="e">
        <f>IF(AND('Administrativo '!#REF!="Muy Baja",'Administrativo '!#REF!="Moderado"),CONCATENATE("R7C",'Administrativo '!#REF!),"")</f>
        <v>#REF!</v>
      </c>
      <c r="Z52" s="58" t="e">
        <f>IF(AND('Administrativo '!#REF!="Muy Baja",'Administrativo '!#REF!="Moderado"),CONCATENATE("R7C",'Administrativo '!#REF!),"")</f>
        <v>#REF!</v>
      </c>
      <c r="AA52" s="59" t="e">
        <f>IF(AND('Administrativo '!#REF!="Muy Baja",'Administrativo '!#REF!="Moderado"),CONCATENATE("R7C",'Administrativo '!#REF!),"")</f>
        <v>#REF!</v>
      </c>
      <c r="AB52" s="42" t="e">
        <f>IF(AND('Administrativo '!#REF!="Muy Baja",'Administrativo '!#REF!="Mayor"),CONCATENATE("R7C",'Administrativo '!#REF!),"")</f>
        <v>#REF!</v>
      </c>
      <c r="AC52" s="43" t="e">
        <f>IF(AND('Administrativo '!#REF!="Muy Baja",'Administrativo '!#REF!="Mayor"),CONCATENATE("R7C",'Administrativo '!#REF!),"")</f>
        <v>#REF!</v>
      </c>
      <c r="AD52" s="43" t="e">
        <f>IF(AND('Administrativo '!#REF!="Muy Baja",'Administrativo '!#REF!="Mayor"),CONCATENATE("R7C",'Administrativo '!#REF!),"")</f>
        <v>#REF!</v>
      </c>
      <c r="AE52" s="43" t="e">
        <f>IF(AND('Administrativo '!#REF!="Muy Baja",'Administrativo '!#REF!="Mayor"),CONCATENATE("R7C",'Administrativo '!#REF!),"")</f>
        <v>#REF!</v>
      </c>
      <c r="AF52" s="43" t="e">
        <f>IF(AND('Administrativo '!#REF!="Muy Baja",'Administrativo '!#REF!="Mayor"),CONCATENATE("R7C",'Administrativo '!#REF!),"")</f>
        <v>#REF!</v>
      </c>
      <c r="AG52" s="44" t="e">
        <f>IF(AND('Administrativo '!#REF!="Muy Baja",'Administrativo '!#REF!="Mayor"),CONCATENATE("R7C",'Administrativo '!#REF!),"")</f>
        <v>#REF!</v>
      </c>
      <c r="AH52" s="45" t="e">
        <f>IF(AND('Administrativo '!#REF!="Muy Baja",'Administrativo '!#REF!="Catastrófico"),CONCATENATE("R7C",'Administrativo '!#REF!),"")</f>
        <v>#REF!</v>
      </c>
      <c r="AI52" s="46" t="e">
        <f>IF(AND('Administrativo '!#REF!="Muy Baja",'Administrativo '!#REF!="Catastrófico"),CONCATENATE("R7C",'Administrativo '!#REF!),"")</f>
        <v>#REF!</v>
      </c>
      <c r="AJ52" s="46" t="e">
        <f>IF(AND('Administrativo '!#REF!="Muy Baja",'Administrativo '!#REF!="Catastrófico"),CONCATENATE("R7C",'Administrativo '!#REF!),"")</f>
        <v>#REF!</v>
      </c>
      <c r="AK52" s="46" t="e">
        <f>IF(AND('Administrativo '!#REF!="Muy Baja",'Administrativo '!#REF!="Catastrófico"),CONCATENATE("R7C",'Administrativo '!#REF!),"")</f>
        <v>#REF!</v>
      </c>
      <c r="AL52" s="46" t="e">
        <f>IF(AND('Administrativo '!#REF!="Muy Baja",'Administrativo '!#REF!="Catastrófico"),CONCATENATE("R7C",'Administrativo '!#REF!),"")</f>
        <v>#REF!</v>
      </c>
      <c r="AM52" s="47" t="e">
        <f>IF(AND('Administrativo '!#REF!="Muy Baja",'Administrativo '!#REF!="Catastrófico"),CONCATENATE("R7C",'Administrativo '!#REF!),"")</f>
        <v>#REF!</v>
      </c>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row>
    <row r="53" spans="1:80" ht="15" customHeight="1" x14ac:dyDescent="0.25">
      <c r="A53" s="73"/>
      <c r="B53" s="773"/>
      <c r="C53" s="773"/>
      <c r="D53" s="774"/>
      <c r="E53" s="814"/>
      <c r="F53" s="815"/>
      <c r="G53" s="815"/>
      <c r="H53" s="815"/>
      <c r="I53" s="816"/>
      <c r="J53" s="66" t="e">
        <f>IF(AND('Administrativo '!#REF!="Muy Baja",'Administrativo '!#REF!="Leve"),CONCATENATE("R8C",'Administrativo '!#REF!),"")</f>
        <v>#REF!</v>
      </c>
      <c r="K53" s="67" t="e">
        <f>IF(AND('Administrativo '!#REF!="Muy Baja",'Administrativo '!#REF!="Leve"),CONCATENATE("R8C",'Administrativo '!#REF!),"")</f>
        <v>#REF!</v>
      </c>
      <c r="L53" s="67" t="e">
        <f>IF(AND('Administrativo '!#REF!="Muy Baja",'Administrativo '!#REF!="Leve"),CONCATENATE("R8C",'Administrativo '!#REF!),"")</f>
        <v>#REF!</v>
      </c>
      <c r="M53" s="67" t="e">
        <f>IF(AND('Administrativo '!#REF!="Muy Baja",'Administrativo '!#REF!="Leve"),CONCATENATE("R8C",'Administrativo '!#REF!),"")</f>
        <v>#REF!</v>
      </c>
      <c r="N53" s="67" t="e">
        <f>IF(AND('Administrativo '!#REF!="Muy Baja",'Administrativo '!#REF!="Leve"),CONCATENATE("R8C",'Administrativo '!#REF!),"")</f>
        <v>#REF!</v>
      </c>
      <c r="O53" s="68" t="e">
        <f>IF(AND('Administrativo '!#REF!="Muy Baja",'Administrativo '!#REF!="Leve"),CONCATENATE("R8C",'Administrativo '!#REF!),"")</f>
        <v>#REF!</v>
      </c>
      <c r="P53" s="66" t="e">
        <f>IF(AND('Administrativo '!#REF!="Muy Baja",'Administrativo '!#REF!="Menor"),CONCATENATE("R8C",'Administrativo '!#REF!),"")</f>
        <v>#REF!</v>
      </c>
      <c r="Q53" s="67" t="e">
        <f>IF(AND('Administrativo '!#REF!="Muy Baja",'Administrativo '!#REF!="Menor"),CONCATENATE("R8C",'Administrativo '!#REF!),"")</f>
        <v>#REF!</v>
      </c>
      <c r="R53" s="67" t="e">
        <f>IF(AND('Administrativo '!#REF!="Muy Baja",'Administrativo '!#REF!="Menor"),CONCATENATE("R8C",'Administrativo '!#REF!),"")</f>
        <v>#REF!</v>
      </c>
      <c r="S53" s="67" t="e">
        <f>IF(AND('Administrativo '!#REF!="Muy Baja",'Administrativo '!#REF!="Menor"),CONCATENATE("R8C",'Administrativo '!#REF!),"")</f>
        <v>#REF!</v>
      </c>
      <c r="T53" s="67" t="e">
        <f>IF(AND('Administrativo '!#REF!="Muy Baja",'Administrativo '!#REF!="Menor"),CONCATENATE("R8C",'Administrativo '!#REF!),"")</f>
        <v>#REF!</v>
      </c>
      <c r="U53" s="68" t="e">
        <f>IF(AND('Administrativo '!#REF!="Muy Baja",'Administrativo '!#REF!="Menor"),CONCATENATE("R8C",'Administrativo '!#REF!),"")</f>
        <v>#REF!</v>
      </c>
      <c r="V53" s="57" t="e">
        <f>IF(AND('Administrativo '!#REF!="Muy Baja",'Administrativo '!#REF!="Moderado"),CONCATENATE("R8C",'Administrativo '!#REF!),"")</f>
        <v>#REF!</v>
      </c>
      <c r="W53" s="58" t="e">
        <f>IF(AND('Administrativo '!#REF!="Muy Baja",'Administrativo '!#REF!="Moderado"),CONCATENATE("R8C",'Administrativo '!#REF!),"")</f>
        <v>#REF!</v>
      </c>
      <c r="X53" s="58" t="e">
        <f>IF(AND('Administrativo '!#REF!="Muy Baja",'Administrativo '!#REF!="Moderado"),CONCATENATE("R8C",'Administrativo '!#REF!),"")</f>
        <v>#REF!</v>
      </c>
      <c r="Y53" s="58" t="e">
        <f>IF(AND('Administrativo '!#REF!="Muy Baja",'Administrativo '!#REF!="Moderado"),CONCATENATE("R8C",'Administrativo '!#REF!),"")</f>
        <v>#REF!</v>
      </c>
      <c r="Z53" s="58" t="e">
        <f>IF(AND('Administrativo '!#REF!="Muy Baja",'Administrativo '!#REF!="Moderado"),CONCATENATE("R8C",'Administrativo '!#REF!),"")</f>
        <v>#REF!</v>
      </c>
      <c r="AA53" s="59" t="e">
        <f>IF(AND('Administrativo '!#REF!="Muy Baja",'Administrativo '!#REF!="Moderado"),CONCATENATE("R8C",'Administrativo '!#REF!),"")</f>
        <v>#REF!</v>
      </c>
      <c r="AB53" s="42" t="e">
        <f>IF(AND('Administrativo '!#REF!="Muy Baja",'Administrativo '!#REF!="Mayor"),CONCATENATE("R8C",'Administrativo '!#REF!),"")</f>
        <v>#REF!</v>
      </c>
      <c r="AC53" s="43" t="e">
        <f>IF(AND('Administrativo '!#REF!="Muy Baja",'Administrativo '!#REF!="Mayor"),CONCATENATE("R8C",'Administrativo '!#REF!),"")</f>
        <v>#REF!</v>
      </c>
      <c r="AD53" s="43" t="e">
        <f>IF(AND('Administrativo '!#REF!="Muy Baja",'Administrativo '!#REF!="Mayor"),CONCATENATE("R8C",'Administrativo '!#REF!),"")</f>
        <v>#REF!</v>
      </c>
      <c r="AE53" s="43" t="e">
        <f>IF(AND('Administrativo '!#REF!="Muy Baja",'Administrativo '!#REF!="Mayor"),CONCATENATE("R8C",'Administrativo '!#REF!),"")</f>
        <v>#REF!</v>
      </c>
      <c r="AF53" s="43" t="e">
        <f>IF(AND('Administrativo '!#REF!="Muy Baja",'Administrativo '!#REF!="Mayor"),CONCATENATE("R8C",'Administrativo '!#REF!),"")</f>
        <v>#REF!</v>
      </c>
      <c r="AG53" s="44" t="e">
        <f>IF(AND('Administrativo '!#REF!="Muy Baja",'Administrativo '!#REF!="Mayor"),CONCATENATE("R8C",'Administrativo '!#REF!),"")</f>
        <v>#REF!</v>
      </c>
      <c r="AH53" s="45" t="e">
        <f>IF(AND('Administrativo '!#REF!="Muy Baja",'Administrativo '!#REF!="Catastrófico"),CONCATENATE("R8C",'Administrativo '!#REF!),"")</f>
        <v>#REF!</v>
      </c>
      <c r="AI53" s="46" t="e">
        <f>IF(AND('Administrativo '!#REF!="Muy Baja",'Administrativo '!#REF!="Catastrófico"),CONCATENATE("R8C",'Administrativo '!#REF!),"")</f>
        <v>#REF!</v>
      </c>
      <c r="AJ53" s="46" t="e">
        <f>IF(AND('Administrativo '!#REF!="Muy Baja",'Administrativo '!#REF!="Catastrófico"),CONCATENATE("R8C",'Administrativo '!#REF!),"")</f>
        <v>#REF!</v>
      </c>
      <c r="AK53" s="46" t="e">
        <f>IF(AND('Administrativo '!#REF!="Muy Baja",'Administrativo '!#REF!="Catastrófico"),CONCATENATE("R8C",'Administrativo '!#REF!),"")</f>
        <v>#REF!</v>
      </c>
      <c r="AL53" s="46" t="e">
        <f>IF(AND('Administrativo '!#REF!="Muy Baja",'Administrativo '!#REF!="Catastrófico"),CONCATENATE("R8C",'Administrativo '!#REF!),"")</f>
        <v>#REF!</v>
      </c>
      <c r="AM53" s="47" t="e">
        <f>IF(AND('Administrativo '!#REF!="Muy Baja",'Administrativo '!#REF!="Catastrófico"),CONCATENATE("R8C",'Administrativo '!#REF!),"")</f>
        <v>#REF!</v>
      </c>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row>
    <row r="54" spans="1:80" ht="15" customHeight="1" x14ac:dyDescent="0.25">
      <c r="A54" s="73"/>
      <c r="B54" s="773"/>
      <c r="C54" s="773"/>
      <c r="D54" s="774"/>
      <c r="E54" s="814"/>
      <c r="F54" s="815"/>
      <c r="G54" s="815"/>
      <c r="H54" s="815"/>
      <c r="I54" s="816"/>
      <c r="J54" s="66" t="e">
        <f>IF(AND('Administrativo '!#REF!="Muy Baja",'Administrativo '!#REF!="Leve"),CONCATENATE("R9C",'Administrativo '!#REF!),"")</f>
        <v>#REF!</v>
      </c>
      <c r="K54" s="67" t="e">
        <f>IF(AND('Administrativo '!#REF!="Muy Baja",'Administrativo '!#REF!="Leve"),CONCATENATE("R9C",'Administrativo '!#REF!),"")</f>
        <v>#REF!</v>
      </c>
      <c r="L54" s="67" t="e">
        <f>IF(AND('Administrativo '!#REF!="Muy Baja",'Administrativo '!#REF!="Leve"),CONCATENATE("R9C",'Administrativo '!#REF!),"")</f>
        <v>#REF!</v>
      </c>
      <c r="M54" s="67" t="e">
        <f>IF(AND('Administrativo '!#REF!="Muy Baja",'Administrativo '!#REF!="Leve"),CONCATENATE("R9C",'Administrativo '!#REF!),"")</f>
        <v>#REF!</v>
      </c>
      <c r="N54" s="67" t="e">
        <f>IF(AND('Administrativo '!#REF!="Muy Baja",'Administrativo '!#REF!="Leve"),CONCATENATE("R9C",'Administrativo '!#REF!),"")</f>
        <v>#REF!</v>
      </c>
      <c r="O54" s="68" t="e">
        <f>IF(AND('Administrativo '!#REF!="Muy Baja",'Administrativo '!#REF!="Leve"),CONCATENATE("R9C",'Administrativo '!#REF!),"")</f>
        <v>#REF!</v>
      </c>
      <c r="P54" s="66" t="e">
        <f>IF(AND('Administrativo '!#REF!="Muy Baja",'Administrativo '!#REF!="Menor"),CONCATENATE("R9C",'Administrativo '!#REF!),"")</f>
        <v>#REF!</v>
      </c>
      <c r="Q54" s="67" t="e">
        <f>IF(AND('Administrativo '!#REF!="Muy Baja",'Administrativo '!#REF!="Menor"),CONCATENATE("R9C",'Administrativo '!#REF!),"")</f>
        <v>#REF!</v>
      </c>
      <c r="R54" s="67" t="e">
        <f>IF(AND('Administrativo '!#REF!="Muy Baja",'Administrativo '!#REF!="Menor"),CONCATENATE("R9C",'Administrativo '!#REF!),"")</f>
        <v>#REF!</v>
      </c>
      <c r="S54" s="67" t="e">
        <f>IF(AND('Administrativo '!#REF!="Muy Baja",'Administrativo '!#REF!="Menor"),CONCATENATE("R9C",'Administrativo '!#REF!),"")</f>
        <v>#REF!</v>
      </c>
      <c r="T54" s="67" t="e">
        <f>IF(AND('Administrativo '!#REF!="Muy Baja",'Administrativo '!#REF!="Menor"),CONCATENATE("R9C",'Administrativo '!#REF!),"")</f>
        <v>#REF!</v>
      </c>
      <c r="U54" s="68" t="e">
        <f>IF(AND('Administrativo '!#REF!="Muy Baja",'Administrativo '!#REF!="Menor"),CONCATENATE("R9C",'Administrativo '!#REF!),"")</f>
        <v>#REF!</v>
      </c>
      <c r="V54" s="57" t="e">
        <f>IF(AND('Administrativo '!#REF!="Muy Baja",'Administrativo '!#REF!="Moderado"),CONCATENATE("R9C",'Administrativo '!#REF!),"")</f>
        <v>#REF!</v>
      </c>
      <c r="W54" s="58" t="e">
        <f>IF(AND('Administrativo '!#REF!="Muy Baja",'Administrativo '!#REF!="Moderado"),CONCATENATE("R9C",'Administrativo '!#REF!),"")</f>
        <v>#REF!</v>
      </c>
      <c r="X54" s="58" t="e">
        <f>IF(AND('Administrativo '!#REF!="Muy Baja",'Administrativo '!#REF!="Moderado"),CONCATENATE("R9C",'Administrativo '!#REF!),"")</f>
        <v>#REF!</v>
      </c>
      <c r="Y54" s="58" t="e">
        <f>IF(AND('Administrativo '!#REF!="Muy Baja",'Administrativo '!#REF!="Moderado"),CONCATENATE("R9C",'Administrativo '!#REF!),"")</f>
        <v>#REF!</v>
      </c>
      <c r="Z54" s="58" t="e">
        <f>IF(AND('Administrativo '!#REF!="Muy Baja",'Administrativo '!#REF!="Moderado"),CONCATENATE("R9C",'Administrativo '!#REF!),"")</f>
        <v>#REF!</v>
      </c>
      <c r="AA54" s="59" t="e">
        <f>IF(AND('Administrativo '!#REF!="Muy Baja",'Administrativo '!#REF!="Moderado"),CONCATENATE("R9C",'Administrativo '!#REF!),"")</f>
        <v>#REF!</v>
      </c>
      <c r="AB54" s="42" t="e">
        <f>IF(AND('Administrativo '!#REF!="Muy Baja",'Administrativo '!#REF!="Mayor"),CONCATENATE("R9C",'Administrativo '!#REF!),"")</f>
        <v>#REF!</v>
      </c>
      <c r="AC54" s="43" t="e">
        <f>IF(AND('Administrativo '!#REF!="Muy Baja",'Administrativo '!#REF!="Mayor"),CONCATENATE("R9C",'Administrativo '!#REF!),"")</f>
        <v>#REF!</v>
      </c>
      <c r="AD54" s="43" t="e">
        <f>IF(AND('Administrativo '!#REF!="Muy Baja",'Administrativo '!#REF!="Mayor"),CONCATENATE("R9C",'Administrativo '!#REF!),"")</f>
        <v>#REF!</v>
      </c>
      <c r="AE54" s="43" t="e">
        <f>IF(AND('Administrativo '!#REF!="Muy Baja",'Administrativo '!#REF!="Mayor"),CONCATENATE("R9C",'Administrativo '!#REF!),"")</f>
        <v>#REF!</v>
      </c>
      <c r="AF54" s="43" t="e">
        <f>IF(AND('Administrativo '!#REF!="Muy Baja",'Administrativo '!#REF!="Mayor"),CONCATENATE("R9C",'Administrativo '!#REF!),"")</f>
        <v>#REF!</v>
      </c>
      <c r="AG54" s="44" t="e">
        <f>IF(AND('Administrativo '!#REF!="Muy Baja",'Administrativo '!#REF!="Mayor"),CONCATENATE("R9C",'Administrativo '!#REF!),"")</f>
        <v>#REF!</v>
      </c>
      <c r="AH54" s="45" t="e">
        <f>IF(AND('Administrativo '!#REF!="Muy Baja",'Administrativo '!#REF!="Catastrófico"),CONCATENATE("R9C",'Administrativo '!#REF!),"")</f>
        <v>#REF!</v>
      </c>
      <c r="AI54" s="46" t="e">
        <f>IF(AND('Administrativo '!#REF!="Muy Baja",'Administrativo '!#REF!="Catastrófico"),CONCATENATE("R9C",'Administrativo '!#REF!),"")</f>
        <v>#REF!</v>
      </c>
      <c r="AJ54" s="46" t="e">
        <f>IF(AND('Administrativo '!#REF!="Muy Baja",'Administrativo '!#REF!="Catastrófico"),CONCATENATE("R9C",'Administrativo '!#REF!),"")</f>
        <v>#REF!</v>
      </c>
      <c r="AK54" s="46" t="e">
        <f>IF(AND('Administrativo '!#REF!="Muy Baja",'Administrativo '!#REF!="Catastrófico"),CONCATENATE("R9C",'Administrativo '!#REF!),"")</f>
        <v>#REF!</v>
      </c>
      <c r="AL54" s="46" t="e">
        <f>IF(AND('Administrativo '!#REF!="Muy Baja",'Administrativo '!#REF!="Catastrófico"),CONCATENATE("R9C",'Administrativo '!#REF!),"")</f>
        <v>#REF!</v>
      </c>
      <c r="AM54" s="47" t="e">
        <f>IF(AND('Administrativo '!#REF!="Muy Baja",'Administrativo '!#REF!="Catastrófico"),CONCATENATE("R9C",'Administrativo '!#REF!),"")</f>
        <v>#REF!</v>
      </c>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row>
    <row r="55" spans="1:80" ht="15.75" customHeight="1" thickBot="1" x14ac:dyDescent="0.3">
      <c r="A55" s="73"/>
      <c r="B55" s="773"/>
      <c r="C55" s="773"/>
      <c r="D55" s="774"/>
      <c r="E55" s="817"/>
      <c r="F55" s="818"/>
      <c r="G55" s="818"/>
      <c r="H55" s="818"/>
      <c r="I55" s="819"/>
      <c r="J55" s="69" t="e">
        <f>IF(AND('Administrativo '!#REF!="Muy Baja",'Administrativo '!#REF!="Leve"),CONCATENATE("R10C",'Administrativo '!#REF!),"")</f>
        <v>#REF!</v>
      </c>
      <c r="K55" s="70" t="e">
        <f>IF(AND('Administrativo '!#REF!="Muy Baja",'Administrativo '!#REF!="Leve"),CONCATENATE("R10C",'Administrativo '!#REF!),"")</f>
        <v>#REF!</v>
      </c>
      <c r="L55" s="70" t="e">
        <f>IF(AND('Administrativo '!#REF!="Muy Baja",'Administrativo '!#REF!="Leve"),CONCATENATE("R10C",'Administrativo '!#REF!),"")</f>
        <v>#REF!</v>
      </c>
      <c r="M55" s="70" t="e">
        <f>IF(AND('Administrativo '!#REF!="Muy Baja",'Administrativo '!#REF!="Leve"),CONCATENATE("R10C",'Administrativo '!#REF!),"")</f>
        <v>#REF!</v>
      </c>
      <c r="N55" s="70" t="e">
        <f>IF(AND('Administrativo '!#REF!="Muy Baja",'Administrativo '!#REF!="Leve"),CONCATENATE("R10C",'Administrativo '!#REF!),"")</f>
        <v>#REF!</v>
      </c>
      <c r="O55" s="71" t="e">
        <f>IF(AND('Administrativo '!#REF!="Muy Baja",'Administrativo '!#REF!="Leve"),CONCATENATE("R10C",'Administrativo '!#REF!),"")</f>
        <v>#REF!</v>
      </c>
      <c r="P55" s="69" t="e">
        <f>IF(AND('Administrativo '!#REF!="Muy Baja",'Administrativo '!#REF!="Menor"),CONCATENATE("R10C",'Administrativo '!#REF!),"")</f>
        <v>#REF!</v>
      </c>
      <c r="Q55" s="70" t="e">
        <f>IF(AND('Administrativo '!#REF!="Muy Baja",'Administrativo '!#REF!="Menor"),CONCATENATE("R10C",'Administrativo '!#REF!),"")</f>
        <v>#REF!</v>
      </c>
      <c r="R55" s="70" t="e">
        <f>IF(AND('Administrativo '!#REF!="Muy Baja",'Administrativo '!#REF!="Menor"),CONCATENATE("R10C",'Administrativo '!#REF!),"")</f>
        <v>#REF!</v>
      </c>
      <c r="S55" s="70" t="e">
        <f>IF(AND('Administrativo '!#REF!="Muy Baja",'Administrativo '!#REF!="Menor"),CONCATENATE("R10C",'Administrativo '!#REF!),"")</f>
        <v>#REF!</v>
      </c>
      <c r="T55" s="70" t="e">
        <f>IF(AND('Administrativo '!#REF!="Muy Baja",'Administrativo '!#REF!="Menor"),CONCATENATE("R10C",'Administrativo '!#REF!),"")</f>
        <v>#REF!</v>
      </c>
      <c r="U55" s="71" t="e">
        <f>IF(AND('Administrativo '!#REF!="Muy Baja",'Administrativo '!#REF!="Menor"),CONCATENATE("R10C",'Administrativo '!#REF!),"")</f>
        <v>#REF!</v>
      </c>
      <c r="V55" s="60" t="e">
        <f>IF(AND('Administrativo '!#REF!="Muy Baja",'Administrativo '!#REF!="Moderado"),CONCATENATE("R10C",'Administrativo '!#REF!),"")</f>
        <v>#REF!</v>
      </c>
      <c r="W55" s="61" t="e">
        <f>IF(AND('Administrativo '!#REF!="Muy Baja",'Administrativo '!#REF!="Moderado"),CONCATENATE("R10C",'Administrativo '!#REF!),"")</f>
        <v>#REF!</v>
      </c>
      <c r="X55" s="61" t="e">
        <f>IF(AND('Administrativo '!#REF!="Muy Baja",'Administrativo '!#REF!="Moderado"),CONCATENATE("R10C",'Administrativo '!#REF!),"")</f>
        <v>#REF!</v>
      </c>
      <c r="Y55" s="61" t="e">
        <f>IF(AND('Administrativo '!#REF!="Muy Baja",'Administrativo '!#REF!="Moderado"),CONCATENATE("R10C",'Administrativo '!#REF!),"")</f>
        <v>#REF!</v>
      </c>
      <c r="Z55" s="61" t="e">
        <f>IF(AND('Administrativo '!#REF!="Muy Baja",'Administrativo '!#REF!="Moderado"),CONCATENATE("R10C",'Administrativo '!#REF!),"")</f>
        <v>#REF!</v>
      </c>
      <c r="AA55" s="62" t="e">
        <f>IF(AND('Administrativo '!#REF!="Muy Baja",'Administrativo '!#REF!="Moderado"),CONCATENATE("R10C",'Administrativo '!#REF!),"")</f>
        <v>#REF!</v>
      </c>
      <c r="AB55" s="48" t="e">
        <f>IF(AND('Administrativo '!#REF!="Muy Baja",'Administrativo '!#REF!="Mayor"),CONCATENATE("R10C",'Administrativo '!#REF!),"")</f>
        <v>#REF!</v>
      </c>
      <c r="AC55" s="49" t="e">
        <f>IF(AND('Administrativo '!#REF!="Muy Baja",'Administrativo '!#REF!="Mayor"),CONCATENATE("R10C",'Administrativo '!#REF!),"")</f>
        <v>#REF!</v>
      </c>
      <c r="AD55" s="49" t="e">
        <f>IF(AND('Administrativo '!#REF!="Muy Baja",'Administrativo '!#REF!="Mayor"),CONCATENATE("R10C",'Administrativo '!#REF!),"")</f>
        <v>#REF!</v>
      </c>
      <c r="AE55" s="49" t="e">
        <f>IF(AND('Administrativo '!#REF!="Muy Baja",'Administrativo '!#REF!="Mayor"),CONCATENATE("R10C",'Administrativo '!#REF!),"")</f>
        <v>#REF!</v>
      </c>
      <c r="AF55" s="49" t="e">
        <f>IF(AND('Administrativo '!#REF!="Muy Baja",'Administrativo '!#REF!="Mayor"),CONCATENATE("R10C",'Administrativo '!#REF!),"")</f>
        <v>#REF!</v>
      </c>
      <c r="AG55" s="50" t="e">
        <f>IF(AND('Administrativo '!#REF!="Muy Baja",'Administrativo '!#REF!="Mayor"),CONCATENATE("R10C",'Administrativo '!#REF!),"")</f>
        <v>#REF!</v>
      </c>
      <c r="AH55" s="51" t="e">
        <f>IF(AND('Administrativo '!#REF!="Muy Baja",'Administrativo '!#REF!="Catastrófico"),CONCATENATE("R10C",'Administrativo '!#REF!),"")</f>
        <v>#REF!</v>
      </c>
      <c r="AI55" s="52" t="e">
        <f>IF(AND('Administrativo '!#REF!="Muy Baja",'Administrativo '!#REF!="Catastrófico"),CONCATENATE("R10C",'Administrativo '!#REF!),"")</f>
        <v>#REF!</v>
      </c>
      <c r="AJ55" s="52" t="e">
        <f>IF(AND('Administrativo '!#REF!="Muy Baja",'Administrativo '!#REF!="Catastrófico"),CONCATENATE("R10C",'Administrativo '!#REF!),"")</f>
        <v>#REF!</v>
      </c>
      <c r="AK55" s="52" t="e">
        <f>IF(AND('Administrativo '!#REF!="Muy Baja",'Administrativo '!#REF!="Catastrófico"),CONCATENATE("R10C",'Administrativo '!#REF!),"")</f>
        <v>#REF!</v>
      </c>
      <c r="AL55" s="52" t="e">
        <f>IF(AND('Administrativo '!#REF!="Muy Baja",'Administrativo '!#REF!="Catastrófico"),CONCATENATE("R10C",'Administrativo '!#REF!),"")</f>
        <v>#REF!</v>
      </c>
      <c r="AM55" s="53" t="e">
        <f>IF(AND('Administrativo '!#REF!="Muy Baja",'Administrativo '!#REF!="Catastrófico"),CONCATENATE("R10C",'Administrativo '!#REF!),"")</f>
        <v>#REF!</v>
      </c>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row>
    <row r="56" spans="1:80" x14ac:dyDescent="0.25">
      <c r="A56" s="73"/>
      <c r="B56" s="73"/>
      <c r="C56" s="73"/>
      <c r="D56" s="73"/>
      <c r="E56" s="73"/>
      <c r="F56" s="73"/>
      <c r="G56" s="73"/>
      <c r="H56" s="73"/>
      <c r="I56" s="73"/>
      <c r="J56" s="811" t="s">
        <v>118</v>
      </c>
      <c r="K56" s="812"/>
      <c r="L56" s="812"/>
      <c r="M56" s="812"/>
      <c r="N56" s="812"/>
      <c r="O56" s="813"/>
      <c r="P56" s="811" t="s">
        <v>119</v>
      </c>
      <c r="Q56" s="812"/>
      <c r="R56" s="812"/>
      <c r="S56" s="812"/>
      <c r="T56" s="812"/>
      <c r="U56" s="813"/>
      <c r="V56" s="811" t="s">
        <v>120</v>
      </c>
      <c r="W56" s="812"/>
      <c r="X56" s="812"/>
      <c r="Y56" s="812"/>
      <c r="Z56" s="812"/>
      <c r="AA56" s="813"/>
      <c r="AB56" s="811" t="s">
        <v>121</v>
      </c>
      <c r="AC56" s="820"/>
      <c r="AD56" s="812"/>
      <c r="AE56" s="812"/>
      <c r="AF56" s="812"/>
      <c r="AG56" s="813"/>
      <c r="AH56" s="811" t="s">
        <v>122</v>
      </c>
      <c r="AI56" s="812"/>
      <c r="AJ56" s="812"/>
      <c r="AK56" s="812"/>
      <c r="AL56" s="812"/>
      <c r="AM56" s="81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row>
    <row r="57" spans="1:80" x14ac:dyDescent="0.25">
      <c r="A57" s="73"/>
      <c r="B57" s="73"/>
      <c r="C57" s="73"/>
      <c r="D57" s="73"/>
      <c r="E57" s="73"/>
      <c r="F57" s="73"/>
      <c r="G57" s="73"/>
      <c r="H57" s="73"/>
      <c r="I57" s="73"/>
      <c r="J57" s="814"/>
      <c r="K57" s="815"/>
      <c r="L57" s="815"/>
      <c r="M57" s="815"/>
      <c r="N57" s="815"/>
      <c r="O57" s="816"/>
      <c r="P57" s="814"/>
      <c r="Q57" s="815"/>
      <c r="R57" s="815"/>
      <c r="S57" s="815"/>
      <c r="T57" s="815"/>
      <c r="U57" s="816"/>
      <c r="V57" s="814"/>
      <c r="W57" s="815"/>
      <c r="X57" s="815"/>
      <c r="Y57" s="815"/>
      <c r="Z57" s="815"/>
      <c r="AA57" s="816"/>
      <c r="AB57" s="814"/>
      <c r="AC57" s="815"/>
      <c r="AD57" s="815"/>
      <c r="AE57" s="815"/>
      <c r="AF57" s="815"/>
      <c r="AG57" s="816"/>
      <c r="AH57" s="814"/>
      <c r="AI57" s="815"/>
      <c r="AJ57" s="815"/>
      <c r="AK57" s="815"/>
      <c r="AL57" s="815"/>
      <c r="AM57" s="816"/>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row>
    <row r="58" spans="1:80" x14ac:dyDescent="0.25">
      <c r="A58" s="73"/>
      <c r="B58" s="73"/>
      <c r="C58" s="73"/>
      <c r="D58" s="73"/>
      <c r="E58" s="73"/>
      <c r="F58" s="73"/>
      <c r="G58" s="73"/>
      <c r="H58" s="73"/>
      <c r="I58" s="73"/>
      <c r="J58" s="814"/>
      <c r="K58" s="815"/>
      <c r="L58" s="815"/>
      <c r="M58" s="815"/>
      <c r="N58" s="815"/>
      <c r="O58" s="816"/>
      <c r="P58" s="814"/>
      <c r="Q58" s="815"/>
      <c r="R58" s="815"/>
      <c r="S58" s="815"/>
      <c r="T58" s="815"/>
      <c r="U58" s="816"/>
      <c r="V58" s="814"/>
      <c r="W58" s="815"/>
      <c r="X58" s="815"/>
      <c r="Y58" s="815"/>
      <c r="Z58" s="815"/>
      <c r="AA58" s="816"/>
      <c r="AB58" s="814"/>
      <c r="AC58" s="815"/>
      <c r="AD58" s="815"/>
      <c r="AE58" s="815"/>
      <c r="AF58" s="815"/>
      <c r="AG58" s="816"/>
      <c r="AH58" s="814"/>
      <c r="AI58" s="815"/>
      <c r="AJ58" s="815"/>
      <c r="AK58" s="815"/>
      <c r="AL58" s="815"/>
      <c r="AM58" s="816"/>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row>
    <row r="59" spans="1:80" x14ac:dyDescent="0.25">
      <c r="A59" s="73"/>
      <c r="B59" s="73"/>
      <c r="C59" s="73"/>
      <c r="D59" s="73"/>
      <c r="E59" s="73"/>
      <c r="F59" s="73"/>
      <c r="G59" s="73"/>
      <c r="H59" s="73"/>
      <c r="I59" s="73"/>
      <c r="J59" s="814"/>
      <c r="K59" s="815"/>
      <c r="L59" s="815"/>
      <c r="M59" s="815"/>
      <c r="N59" s="815"/>
      <c r="O59" s="816"/>
      <c r="P59" s="814"/>
      <c r="Q59" s="815"/>
      <c r="R59" s="815"/>
      <c r="S59" s="815"/>
      <c r="T59" s="815"/>
      <c r="U59" s="816"/>
      <c r="V59" s="814"/>
      <c r="W59" s="815"/>
      <c r="X59" s="815"/>
      <c r="Y59" s="815"/>
      <c r="Z59" s="815"/>
      <c r="AA59" s="816"/>
      <c r="AB59" s="814"/>
      <c r="AC59" s="815"/>
      <c r="AD59" s="815"/>
      <c r="AE59" s="815"/>
      <c r="AF59" s="815"/>
      <c r="AG59" s="816"/>
      <c r="AH59" s="814"/>
      <c r="AI59" s="815"/>
      <c r="AJ59" s="815"/>
      <c r="AK59" s="815"/>
      <c r="AL59" s="815"/>
      <c r="AM59" s="816"/>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row>
    <row r="60" spans="1:80" x14ac:dyDescent="0.25">
      <c r="A60" s="73"/>
      <c r="B60" s="73"/>
      <c r="C60" s="73"/>
      <c r="D60" s="73"/>
      <c r="E60" s="73"/>
      <c r="F60" s="73"/>
      <c r="G60" s="73"/>
      <c r="H60" s="73"/>
      <c r="I60" s="73"/>
      <c r="J60" s="814"/>
      <c r="K60" s="815"/>
      <c r="L60" s="815"/>
      <c r="M60" s="815"/>
      <c r="N60" s="815"/>
      <c r="O60" s="816"/>
      <c r="P60" s="814"/>
      <c r="Q60" s="815"/>
      <c r="R60" s="815"/>
      <c r="S60" s="815"/>
      <c r="T60" s="815"/>
      <c r="U60" s="816"/>
      <c r="V60" s="814"/>
      <c r="W60" s="815"/>
      <c r="X60" s="815"/>
      <c r="Y60" s="815"/>
      <c r="Z60" s="815"/>
      <c r="AA60" s="816"/>
      <c r="AB60" s="814"/>
      <c r="AC60" s="815"/>
      <c r="AD60" s="815"/>
      <c r="AE60" s="815"/>
      <c r="AF60" s="815"/>
      <c r="AG60" s="816"/>
      <c r="AH60" s="814"/>
      <c r="AI60" s="815"/>
      <c r="AJ60" s="815"/>
      <c r="AK60" s="815"/>
      <c r="AL60" s="815"/>
      <c r="AM60" s="816"/>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row>
    <row r="61" spans="1:80" ht="15.75" thickBot="1" x14ac:dyDescent="0.3">
      <c r="A61" s="73"/>
      <c r="B61" s="73"/>
      <c r="C61" s="73"/>
      <c r="D61" s="73"/>
      <c r="E61" s="73"/>
      <c r="F61" s="73"/>
      <c r="G61" s="73"/>
      <c r="H61" s="73"/>
      <c r="I61" s="73"/>
      <c r="J61" s="817"/>
      <c r="K61" s="818"/>
      <c r="L61" s="818"/>
      <c r="M61" s="818"/>
      <c r="N61" s="818"/>
      <c r="O61" s="819"/>
      <c r="P61" s="817"/>
      <c r="Q61" s="818"/>
      <c r="R61" s="818"/>
      <c r="S61" s="818"/>
      <c r="T61" s="818"/>
      <c r="U61" s="819"/>
      <c r="V61" s="817"/>
      <c r="W61" s="818"/>
      <c r="X61" s="818"/>
      <c r="Y61" s="818"/>
      <c r="Z61" s="818"/>
      <c r="AA61" s="819"/>
      <c r="AB61" s="817"/>
      <c r="AC61" s="818"/>
      <c r="AD61" s="818"/>
      <c r="AE61" s="818"/>
      <c r="AF61" s="818"/>
      <c r="AG61" s="819"/>
      <c r="AH61" s="817"/>
      <c r="AI61" s="818"/>
      <c r="AJ61" s="818"/>
      <c r="AK61" s="818"/>
      <c r="AL61" s="818"/>
      <c r="AM61" s="819"/>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row>
    <row r="62" spans="1:80" x14ac:dyDescent="0.25">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row>
    <row r="63" spans="1:80" ht="15" customHeight="1" x14ac:dyDescent="0.25">
      <c r="A63" s="73"/>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3"/>
      <c r="AV63" s="73"/>
      <c r="AW63" s="73"/>
      <c r="AX63" s="73"/>
      <c r="AY63" s="73"/>
      <c r="AZ63" s="73"/>
      <c r="BA63" s="73"/>
      <c r="BB63" s="73"/>
      <c r="BC63" s="73"/>
      <c r="BD63" s="73"/>
      <c r="BE63" s="73"/>
      <c r="BF63" s="73"/>
      <c r="BG63" s="73"/>
      <c r="BH63" s="73"/>
    </row>
    <row r="64" spans="1:80" ht="15" customHeight="1" x14ac:dyDescent="0.25">
      <c r="A64" s="73"/>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3"/>
      <c r="AV64" s="73"/>
      <c r="AW64" s="73"/>
      <c r="AX64" s="73"/>
      <c r="AY64" s="73"/>
      <c r="AZ64" s="73"/>
      <c r="BA64" s="73"/>
      <c r="BB64" s="73"/>
      <c r="BC64" s="73"/>
      <c r="BD64" s="73"/>
      <c r="BE64" s="73"/>
      <c r="BF64" s="73"/>
      <c r="BG64" s="73"/>
      <c r="BH64" s="73"/>
    </row>
    <row r="65" spans="1:60" x14ac:dyDescent="0.25">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row>
    <row r="66" spans="1:60" x14ac:dyDescent="0.25">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row>
    <row r="67" spans="1:60" x14ac:dyDescent="0.25">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row>
    <row r="68" spans="1:60" x14ac:dyDescent="0.25">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row>
    <row r="69" spans="1:60" x14ac:dyDescent="0.25">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row>
    <row r="70" spans="1:60" x14ac:dyDescent="0.25">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row>
    <row r="71" spans="1:60" x14ac:dyDescent="0.25">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row>
    <row r="72" spans="1:60" x14ac:dyDescent="0.25">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row>
    <row r="73" spans="1:60" x14ac:dyDescent="0.25">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row>
    <row r="74" spans="1:60" x14ac:dyDescent="0.25">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row>
    <row r="75" spans="1:60" x14ac:dyDescent="0.25">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row>
    <row r="76" spans="1:60" x14ac:dyDescent="0.25">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row>
    <row r="77" spans="1:60" x14ac:dyDescent="0.25">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row>
    <row r="78" spans="1:60" x14ac:dyDescent="0.25">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row>
    <row r="79" spans="1:60" x14ac:dyDescent="0.25">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row>
    <row r="80" spans="1:60" x14ac:dyDescent="0.25">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row>
    <row r="81" spans="1:60" x14ac:dyDescent="0.25">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row>
    <row r="82" spans="1:60" x14ac:dyDescent="0.25">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row>
    <row r="83" spans="1:60" x14ac:dyDescent="0.25">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row>
    <row r="84" spans="1:60" x14ac:dyDescent="0.25">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row>
    <row r="85" spans="1:60" x14ac:dyDescent="0.25">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row>
    <row r="86" spans="1:60" x14ac:dyDescent="0.25">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row>
    <row r="87" spans="1:60" x14ac:dyDescent="0.25">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row>
    <row r="88" spans="1:60" x14ac:dyDescent="0.25">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row>
    <row r="89" spans="1:60" x14ac:dyDescent="0.2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row>
    <row r="90" spans="1:60" x14ac:dyDescent="0.25">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row>
    <row r="91" spans="1:60" x14ac:dyDescent="0.25">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row>
    <row r="92" spans="1:60" x14ac:dyDescent="0.25">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row>
    <row r="93" spans="1:60" x14ac:dyDescent="0.25">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row>
    <row r="94" spans="1:60" x14ac:dyDescent="0.25">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row>
    <row r="95" spans="1:60" x14ac:dyDescent="0.25">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row>
    <row r="96" spans="1:60" x14ac:dyDescent="0.25">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row>
    <row r="97" spans="1:60" x14ac:dyDescent="0.25">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row>
    <row r="98" spans="1:60" x14ac:dyDescent="0.25">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row>
    <row r="99" spans="1:60" x14ac:dyDescent="0.2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row>
    <row r="100" spans="1:60" x14ac:dyDescent="0.2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row>
    <row r="101" spans="1:60" x14ac:dyDescent="0.2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3"/>
      <c r="AZ101" s="73"/>
      <c r="BA101" s="73"/>
      <c r="BB101" s="73"/>
      <c r="BC101" s="73"/>
      <c r="BD101" s="73"/>
      <c r="BE101" s="73"/>
      <c r="BF101" s="73"/>
      <c r="BG101" s="73"/>
      <c r="BH101" s="73"/>
    </row>
    <row r="102" spans="1:60" x14ac:dyDescent="0.2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c r="AU102" s="73"/>
      <c r="AV102" s="73"/>
      <c r="AW102" s="73"/>
      <c r="AX102" s="73"/>
      <c r="AY102" s="73"/>
      <c r="AZ102" s="73"/>
      <c r="BA102" s="73"/>
      <c r="BB102" s="73"/>
      <c r="BC102" s="73"/>
      <c r="BD102" s="73"/>
      <c r="BE102" s="73"/>
      <c r="BF102" s="73"/>
      <c r="BG102" s="73"/>
      <c r="BH102" s="73"/>
    </row>
    <row r="103" spans="1:60" x14ac:dyDescent="0.2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3"/>
      <c r="AZ103" s="73"/>
      <c r="BA103" s="73"/>
      <c r="BB103" s="73"/>
      <c r="BC103" s="73"/>
      <c r="BD103" s="73"/>
      <c r="BE103" s="73"/>
      <c r="BF103" s="73"/>
      <c r="BG103" s="73"/>
      <c r="BH103" s="73"/>
    </row>
    <row r="104" spans="1:60" x14ac:dyDescent="0.2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c r="AW104" s="73"/>
      <c r="AX104" s="73"/>
      <c r="AY104" s="73"/>
      <c r="AZ104" s="73"/>
      <c r="BA104" s="73"/>
      <c r="BB104" s="73"/>
      <c r="BC104" s="73"/>
      <c r="BD104" s="73"/>
      <c r="BE104" s="73"/>
      <c r="BF104" s="73"/>
      <c r="BG104" s="73"/>
      <c r="BH104" s="73"/>
    </row>
    <row r="105" spans="1:60" x14ac:dyDescent="0.2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3"/>
      <c r="AZ105" s="73"/>
      <c r="BA105" s="73"/>
      <c r="BB105" s="73"/>
      <c r="BC105" s="73"/>
      <c r="BD105" s="73"/>
      <c r="BE105" s="73"/>
      <c r="BF105" s="73"/>
      <c r="BG105" s="73"/>
      <c r="BH105" s="73"/>
    </row>
    <row r="106" spans="1:60" x14ac:dyDescent="0.2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73"/>
      <c r="BE106" s="73"/>
      <c r="BF106" s="73"/>
      <c r="BG106" s="73"/>
      <c r="BH106" s="73"/>
    </row>
    <row r="107" spans="1:60" x14ac:dyDescent="0.2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c r="AV107" s="73"/>
      <c r="AW107" s="73"/>
      <c r="AX107" s="73"/>
      <c r="AY107" s="73"/>
      <c r="AZ107" s="73"/>
      <c r="BA107" s="73"/>
      <c r="BB107" s="73"/>
      <c r="BC107" s="73"/>
      <c r="BD107" s="73"/>
      <c r="BE107" s="73"/>
      <c r="BF107" s="73"/>
      <c r="BG107" s="73"/>
      <c r="BH107" s="73"/>
    </row>
    <row r="108" spans="1:60" x14ac:dyDescent="0.2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c r="AU108" s="73"/>
      <c r="AV108" s="73"/>
      <c r="AW108" s="73"/>
      <c r="AX108" s="73"/>
      <c r="AY108" s="73"/>
      <c r="AZ108" s="73"/>
      <c r="BA108" s="73"/>
      <c r="BB108" s="73"/>
      <c r="BC108" s="73"/>
      <c r="BD108" s="73"/>
      <c r="BE108" s="73"/>
      <c r="BF108" s="73"/>
      <c r="BG108" s="73"/>
      <c r="BH108" s="73"/>
    </row>
    <row r="109" spans="1:60" x14ac:dyDescent="0.2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c r="AU109" s="73"/>
      <c r="AV109" s="73"/>
      <c r="AW109" s="73"/>
      <c r="AX109" s="73"/>
      <c r="AY109" s="73"/>
      <c r="AZ109" s="73"/>
      <c r="BA109" s="73"/>
      <c r="BB109" s="73"/>
      <c r="BC109" s="73"/>
      <c r="BD109" s="73"/>
      <c r="BE109" s="73"/>
      <c r="BF109" s="73"/>
      <c r="BG109" s="73"/>
      <c r="BH109" s="73"/>
    </row>
    <row r="110" spans="1:60" x14ac:dyDescent="0.2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c r="AU110" s="73"/>
      <c r="AV110" s="73"/>
      <c r="AW110" s="73"/>
      <c r="AX110" s="73"/>
      <c r="AY110" s="73"/>
      <c r="AZ110" s="73"/>
      <c r="BA110" s="73"/>
      <c r="BB110" s="73"/>
      <c r="BC110" s="73"/>
      <c r="BD110" s="73"/>
      <c r="BE110" s="73"/>
      <c r="BF110" s="73"/>
      <c r="BG110" s="73"/>
      <c r="BH110" s="73"/>
    </row>
    <row r="111" spans="1:60" x14ac:dyDescent="0.2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73"/>
      <c r="AV111" s="73"/>
      <c r="AW111" s="73"/>
      <c r="AX111" s="73"/>
      <c r="AY111" s="73"/>
      <c r="AZ111" s="73"/>
      <c r="BA111" s="73"/>
      <c r="BB111" s="73"/>
      <c r="BC111" s="73"/>
      <c r="BD111" s="73"/>
      <c r="BE111" s="73"/>
      <c r="BF111" s="73"/>
      <c r="BG111" s="73"/>
      <c r="BH111" s="73"/>
    </row>
    <row r="112" spans="1:60" x14ac:dyDescent="0.2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c r="AU112" s="73"/>
      <c r="AV112" s="73"/>
      <c r="AW112" s="73"/>
      <c r="AX112" s="73"/>
      <c r="AY112" s="73"/>
      <c r="AZ112" s="73"/>
      <c r="BA112" s="73"/>
      <c r="BB112" s="73"/>
      <c r="BC112" s="73"/>
      <c r="BD112" s="73"/>
      <c r="BE112" s="73"/>
      <c r="BF112" s="73"/>
      <c r="BG112" s="73"/>
      <c r="BH112" s="73"/>
    </row>
    <row r="113" spans="1:60" x14ac:dyDescent="0.2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73"/>
      <c r="AX113" s="73"/>
      <c r="AY113" s="73"/>
      <c r="AZ113" s="73"/>
      <c r="BA113" s="73"/>
      <c r="BB113" s="73"/>
      <c r="BC113" s="73"/>
      <c r="BD113" s="73"/>
      <c r="BE113" s="73"/>
      <c r="BF113" s="73"/>
      <c r="BG113" s="73"/>
      <c r="BH113" s="73"/>
    </row>
    <row r="114" spans="1:60" x14ac:dyDescent="0.2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c r="BE114" s="73"/>
      <c r="BF114" s="73"/>
      <c r="BG114" s="73"/>
      <c r="BH114" s="73"/>
    </row>
    <row r="115" spans="1:60" x14ac:dyDescent="0.2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c r="BE115" s="73"/>
      <c r="BF115" s="73"/>
      <c r="BG115" s="73"/>
      <c r="BH115" s="73"/>
    </row>
    <row r="116" spans="1:60" x14ac:dyDescent="0.2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c r="BE116" s="73"/>
      <c r="BF116" s="73"/>
      <c r="BG116" s="73"/>
      <c r="BH116" s="73"/>
    </row>
    <row r="117" spans="1:60" x14ac:dyDescent="0.2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c r="BE117" s="73"/>
      <c r="BF117" s="73"/>
      <c r="BG117" s="73"/>
      <c r="BH117" s="73"/>
    </row>
    <row r="118" spans="1:60" x14ac:dyDescent="0.2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c r="BE118" s="73"/>
      <c r="BF118" s="73"/>
      <c r="BG118" s="73"/>
      <c r="BH118" s="73"/>
    </row>
    <row r="119" spans="1:60" x14ac:dyDescent="0.2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73"/>
      <c r="BG119" s="73"/>
      <c r="BH119" s="73"/>
    </row>
    <row r="120" spans="1:60" x14ac:dyDescent="0.2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c r="BE120" s="73"/>
      <c r="BF120" s="73"/>
      <c r="BG120" s="73"/>
      <c r="BH120" s="73"/>
    </row>
    <row r="121" spans="1:60" x14ac:dyDescent="0.2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c r="BE121" s="73"/>
      <c r="BF121" s="73"/>
      <c r="BG121" s="73"/>
      <c r="BH121" s="73"/>
    </row>
    <row r="122" spans="1:60" x14ac:dyDescent="0.2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c r="BE122" s="73"/>
      <c r="BF122" s="73"/>
      <c r="BG122" s="73"/>
      <c r="BH122" s="73"/>
    </row>
    <row r="123" spans="1:60" x14ac:dyDescent="0.2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c r="BE123" s="73"/>
      <c r="BF123" s="73"/>
      <c r="BG123" s="73"/>
      <c r="BH123" s="73"/>
    </row>
    <row r="124" spans="1:60" x14ac:dyDescent="0.2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c r="BE124" s="73"/>
      <c r="BF124" s="73"/>
      <c r="BG124" s="73"/>
      <c r="BH124" s="73"/>
    </row>
    <row r="125" spans="1:60" x14ac:dyDescent="0.2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c r="BE125" s="73"/>
      <c r="BF125" s="73"/>
      <c r="BG125" s="73"/>
      <c r="BH125" s="73"/>
    </row>
    <row r="126" spans="1:60" x14ac:dyDescent="0.2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c r="BE126" s="73"/>
      <c r="BF126" s="73"/>
      <c r="BG126" s="73"/>
      <c r="BH126" s="73"/>
    </row>
    <row r="127" spans="1:60" x14ac:dyDescent="0.2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c r="BE127" s="73"/>
      <c r="BF127" s="73"/>
      <c r="BG127" s="73"/>
      <c r="BH127" s="73"/>
    </row>
    <row r="128" spans="1:60" x14ac:dyDescent="0.2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c r="BE128" s="73"/>
      <c r="BF128" s="73"/>
      <c r="BG128" s="73"/>
      <c r="BH128" s="73"/>
    </row>
    <row r="129" spans="1:60" x14ac:dyDescent="0.2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c r="BE129" s="73"/>
      <c r="BF129" s="73"/>
      <c r="BG129" s="73"/>
      <c r="BH129" s="73"/>
    </row>
    <row r="130" spans="1:60" x14ac:dyDescent="0.2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c r="BE130" s="73"/>
      <c r="BF130" s="73"/>
      <c r="BG130" s="73"/>
      <c r="BH130" s="73"/>
    </row>
    <row r="131" spans="1:60" x14ac:dyDescent="0.2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row>
    <row r="132" spans="1:60" x14ac:dyDescent="0.2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73"/>
    </row>
    <row r="133" spans="1:60" x14ac:dyDescent="0.2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73"/>
    </row>
    <row r="134" spans="1:60" x14ac:dyDescent="0.2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c r="BG134" s="73"/>
      <c r="BH134" s="73"/>
    </row>
    <row r="135" spans="1:60" x14ac:dyDescent="0.2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c r="BG135" s="73"/>
      <c r="BH135" s="73"/>
    </row>
    <row r="136" spans="1:60" x14ac:dyDescent="0.2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row>
    <row r="137" spans="1:60" x14ac:dyDescent="0.2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row>
    <row r="138" spans="1:60" x14ac:dyDescent="0.2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row>
    <row r="139" spans="1:60" x14ac:dyDescent="0.2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row>
    <row r="140" spans="1:60" x14ac:dyDescent="0.2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row>
    <row r="141" spans="1:60" x14ac:dyDescent="0.2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row>
    <row r="142" spans="1:60" x14ac:dyDescent="0.2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row>
    <row r="143" spans="1:60" x14ac:dyDescent="0.2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row>
    <row r="144" spans="1:60" x14ac:dyDescent="0.2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c r="BE144" s="73"/>
      <c r="BF144" s="73"/>
      <c r="BG144" s="73"/>
      <c r="BH144" s="73"/>
    </row>
    <row r="145" spans="1:60" x14ac:dyDescent="0.2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row>
    <row r="146" spans="1:60" x14ac:dyDescent="0.2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73"/>
      <c r="BG146" s="73"/>
      <c r="BH146" s="73"/>
    </row>
    <row r="147" spans="1:60" x14ac:dyDescent="0.2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73"/>
    </row>
    <row r="148" spans="1:60" x14ac:dyDescent="0.2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c r="BG148" s="73"/>
      <c r="BH148" s="73"/>
    </row>
    <row r="149" spans="1:60" x14ac:dyDescent="0.2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c r="BE149" s="73"/>
      <c r="BF149" s="73"/>
      <c r="BG149" s="73"/>
      <c r="BH149" s="73"/>
    </row>
    <row r="150" spans="1:60" x14ac:dyDescent="0.2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row>
    <row r="151" spans="1:60" x14ac:dyDescent="0.2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c r="BE151" s="73"/>
      <c r="BF151" s="73"/>
      <c r="BG151" s="73"/>
      <c r="BH151" s="73"/>
    </row>
    <row r="152" spans="1:60" x14ac:dyDescent="0.2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c r="BG152" s="73"/>
      <c r="BH152" s="73"/>
    </row>
    <row r="153" spans="1:60" x14ac:dyDescent="0.2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c r="BG153" s="73"/>
      <c r="BH153" s="73"/>
    </row>
    <row r="154" spans="1:60" x14ac:dyDescent="0.2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c r="BG154" s="73"/>
      <c r="BH154" s="73"/>
    </row>
    <row r="155" spans="1:60" x14ac:dyDescent="0.2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73"/>
    </row>
    <row r="156" spans="1:60" x14ac:dyDescent="0.2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73"/>
    </row>
    <row r="157" spans="1:60" x14ac:dyDescent="0.2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c r="BE157" s="73"/>
      <c r="BF157" s="73"/>
      <c r="BG157" s="73"/>
      <c r="BH157" s="73"/>
    </row>
    <row r="158" spans="1:60" x14ac:dyDescent="0.2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c r="BE158" s="73"/>
      <c r="BF158" s="73"/>
      <c r="BG158" s="73"/>
      <c r="BH158" s="73"/>
    </row>
    <row r="159" spans="1:60" x14ac:dyDescent="0.2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c r="BE159" s="73"/>
      <c r="BF159" s="73"/>
      <c r="BG159" s="73"/>
      <c r="BH159" s="73"/>
    </row>
    <row r="160" spans="1:60" x14ac:dyDescent="0.2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73"/>
    </row>
    <row r="161" spans="1:60" x14ac:dyDescent="0.2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c r="BE161" s="73"/>
      <c r="BF161" s="73"/>
      <c r="BG161" s="73"/>
      <c r="BH161" s="73"/>
    </row>
    <row r="162" spans="1:60" x14ac:dyDescent="0.2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c r="BE162" s="73"/>
      <c r="BF162" s="73"/>
      <c r="BG162" s="73"/>
      <c r="BH162" s="73"/>
    </row>
    <row r="163" spans="1:60" x14ac:dyDescent="0.2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c r="BE163" s="73"/>
      <c r="BF163" s="73"/>
      <c r="BG163" s="73"/>
      <c r="BH163" s="73"/>
    </row>
    <row r="164" spans="1:60" x14ac:dyDescent="0.2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row>
    <row r="165" spans="1:60" x14ac:dyDescent="0.2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c r="BE165" s="73"/>
      <c r="BF165" s="73"/>
      <c r="BG165" s="73"/>
      <c r="BH165" s="73"/>
    </row>
    <row r="166" spans="1:60" x14ac:dyDescent="0.2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row>
    <row r="167" spans="1:60" x14ac:dyDescent="0.2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73"/>
    </row>
    <row r="168" spans="1:60" x14ac:dyDescent="0.2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73"/>
    </row>
    <row r="169" spans="1:60" x14ac:dyDescent="0.2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c r="BE169" s="73"/>
      <c r="BF169" s="73"/>
      <c r="BG169" s="73"/>
      <c r="BH169" s="73"/>
    </row>
    <row r="170" spans="1:60" x14ac:dyDescent="0.2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c r="BE170" s="73"/>
      <c r="BF170" s="73"/>
      <c r="BG170" s="73"/>
      <c r="BH170" s="73"/>
    </row>
    <row r="171" spans="1:60" x14ac:dyDescent="0.2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c r="AU171" s="73"/>
      <c r="AV171" s="73"/>
      <c r="AW171" s="73"/>
      <c r="AX171" s="73"/>
      <c r="AY171" s="73"/>
      <c r="AZ171" s="73"/>
      <c r="BA171" s="73"/>
      <c r="BB171" s="73"/>
      <c r="BC171" s="73"/>
      <c r="BD171" s="73"/>
      <c r="BE171" s="73"/>
      <c r="BF171" s="73"/>
      <c r="BG171" s="73"/>
      <c r="BH171" s="73"/>
    </row>
    <row r="172" spans="1:60" x14ac:dyDescent="0.2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c r="BE172" s="73"/>
      <c r="BF172" s="73"/>
      <c r="BG172" s="73"/>
      <c r="BH172" s="73"/>
    </row>
    <row r="173" spans="1:60" x14ac:dyDescent="0.2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c r="BE173" s="73"/>
      <c r="BF173" s="73"/>
      <c r="BG173" s="73"/>
      <c r="BH173" s="73"/>
    </row>
    <row r="174" spans="1:60" x14ac:dyDescent="0.2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73"/>
    </row>
    <row r="175" spans="1:60" x14ac:dyDescent="0.2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73"/>
    </row>
    <row r="176" spans="1:60" x14ac:dyDescent="0.2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c r="AU176" s="73"/>
      <c r="AV176" s="73"/>
      <c r="AW176" s="73"/>
      <c r="AX176" s="73"/>
      <c r="AY176" s="73"/>
      <c r="AZ176" s="73"/>
      <c r="BA176" s="73"/>
      <c r="BB176" s="73"/>
      <c r="BC176" s="73"/>
      <c r="BD176" s="73"/>
      <c r="BE176" s="73"/>
      <c r="BF176" s="73"/>
      <c r="BG176" s="73"/>
      <c r="BH176" s="73"/>
    </row>
    <row r="177" spans="1:60" x14ac:dyDescent="0.2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c r="AU177" s="73"/>
      <c r="AV177" s="73"/>
      <c r="AW177" s="73"/>
      <c r="AX177" s="73"/>
      <c r="AY177" s="73"/>
      <c r="AZ177" s="73"/>
      <c r="BA177" s="73"/>
      <c r="BB177" s="73"/>
      <c r="BC177" s="73"/>
      <c r="BD177" s="73"/>
      <c r="BE177" s="73"/>
      <c r="BF177" s="73"/>
      <c r="BG177" s="73"/>
      <c r="BH177" s="73"/>
    </row>
    <row r="178" spans="1:60" x14ac:dyDescent="0.2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c r="AU178" s="73"/>
      <c r="AV178" s="73"/>
      <c r="AW178" s="73"/>
      <c r="AX178" s="73"/>
      <c r="AY178" s="73"/>
      <c r="AZ178" s="73"/>
      <c r="BA178" s="73"/>
      <c r="BB178" s="73"/>
      <c r="BC178" s="73"/>
      <c r="BD178" s="73"/>
      <c r="BE178" s="73"/>
      <c r="BF178" s="73"/>
      <c r="BG178" s="73"/>
      <c r="BH178" s="73"/>
    </row>
    <row r="179" spans="1:60" x14ac:dyDescent="0.2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c r="BE179" s="73"/>
      <c r="BF179" s="73"/>
      <c r="BG179" s="73"/>
      <c r="BH179" s="73"/>
    </row>
    <row r="180" spans="1:60" x14ac:dyDescent="0.2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c r="AG180" s="73"/>
      <c r="AH180" s="73"/>
      <c r="AI180" s="73"/>
      <c r="AJ180" s="73"/>
      <c r="AK180" s="73"/>
      <c r="AL180" s="73"/>
      <c r="AM180" s="73"/>
      <c r="AN180" s="73"/>
      <c r="AO180" s="73"/>
      <c r="AP180" s="73"/>
      <c r="AQ180" s="73"/>
      <c r="AR180" s="73"/>
      <c r="AS180" s="73"/>
      <c r="AT180" s="73"/>
      <c r="AU180" s="73"/>
      <c r="AV180" s="73"/>
      <c r="AW180" s="73"/>
      <c r="AX180" s="73"/>
      <c r="AY180" s="73"/>
      <c r="AZ180" s="73"/>
      <c r="BA180" s="73"/>
      <c r="BB180" s="73"/>
      <c r="BC180" s="73"/>
      <c r="BD180" s="73"/>
      <c r="BE180" s="73"/>
      <c r="BF180" s="73"/>
      <c r="BG180" s="73"/>
      <c r="BH180" s="73"/>
    </row>
    <row r="181" spans="1:60" x14ac:dyDescent="0.2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c r="BE181" s="73"/>
      <c r="BF181" s="73"/>
      <c r="BG181" s="73"/>
      <c r="BH181" s="73"/>
    </row>
    <row r="182" spans="1:60" x14ac:dyDescent="0.2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73"/>
      <c r="AW182" s="73"/>
      <c r="AX182" s="73"/>
      <c r="AY182" s="73"/>
      <c r="AZ182" s="73"/>
      <c r="BA182" s="73"/>
      <c r="BB182" s="73"/>
      <c r="BC182" s="73"/>
      <c r="BD182" s="73"/>
      <c r="BE182" s="73"/>
      <c r="BF182" s="73"/>
      <c r="BG182" s="73"/>
      <c r="BH182" s="73"/>
    </row>
    <row r="183" spans="1:60" x14ac:dyDescent="0.2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c r="AN183" s="73"/>
      <c r="AO183" s="73"/>
      <c r="AP183" s="73"/>
      <c r="AQ183" s="73"/>
      <c r="AR183" s="73"/>
      <c r="AS183" s="73"/>
      <c r="AT183" s="73"/>
      <c r="AU183" s="73"/>
      <c r="AV183" s="73"/>
      <c r="AW183" s="73"/>
      <c r="AX183" s="73"/>
      <c r="AY183" s="73"/>
      <c r="AZ183" s="73"/>
      <c r="BA183" s="73"/>
      <c r="BB183" s="73"/>
      <c r="BC183" s="73"/>
      <c r="BD183" s="73"/>
      <c r="BE183" s="73"/>
      <c r="BF183" s="73"/>
      <c r="BG183" s="73"/>
      <c r="BH183" s="73"/>
    </row>
    <row r="184" spans="1:60" x14ac:dyDescent="0.2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c r="AN184" s="73"/>
      <c r="AO184" s="73"/>
      <c r="AP184" s="73"/>
      <c r="AQ184" s="73"/>
      <c r="AR184" s="73"/>
      <c r="AS184" s="73"/>
      <c r="AT184" s="73"/>
      <c r="AU184" s="73"/>
      <c r="AV184" s="73"/>
      <c r="AW184" s="73"/>
      <c r="AX184" s="73"/>
      <c r="AY184" s="73"/>
      <c r="AZ184" s="73"/>
      <c r="BA184" s="73"/>
      <c r="BB184" s="73"/>
      <c r="BC184" s="73"/>
      <c r="BD184" s="73"/>
      <c r="BE184" s="73"/>
      <c r="BF184" s="73"/>
      <c r="BG184" s="73"/>
      <c r="BH184" s="73"/>
    </row>
    <row r="185" spans="1:60" x14ac:dyDescent="0.2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c r="BE185" s="73"/>
      <c r="BF185" s="73"/>
      <c r="BG185" s="73"/>
      <c r="BH185" s="73"/>
    </row>
    <row r="186" spans="1:60" x14ac:dyDescent="0.2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73"/>
    </row>
    <row r="187" spans="1:60" x14ac:dyDescent="0.2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row>
    <row r="188" spans="1:60" x14ac:dyDescent="0.2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row>
    <row r="189" spans="1:60" x14ac:dyDescent="0.2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73"/>
    </row>
    <row r="190" spans="1:60" x14ac:dyDescent="0.2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c r="AU190" s="73"/>
      <c r="AV190" s="73"/>
      <c r="AW190" s="73"/>
      <c r="AX190" s="73"/>
      <c r="AY190" s="73"/>
      <c r="AZ190" s="73"/>
      <c r="BA190" s="73"/>
      <c r="BB190" s="73"/>
      <c r="BC190" s="73"/>
      <c r="BD190" s="73"/>
      <c r="BE190" s="73"/>
      <c r="BF190" s="73"/>
      <c r="BG190" s="73"/>
      <c r="BH190" s="73"/>
    </row>
    <row r="191" spans="1:60" x14ac:dyDescent="0.25">
      <c r="A191" s="73"/>
      <c r="J191" s="73"/>
      <c r="K191" s="73"/>
      <c r="L191" s="73"/>
      <c r="M191" s="73"/>
      <c r="N191" s="73"/>
      <c r="O191" s="73"/>
      <c r="P191" s="73"/>
      <c r="Q191" s="73"/>
      <c r="R191" s="73"/>
      <c r="S191" s="73"/>
      <c r="T191" s="73"/>
      <c r="U191" s="73"/>
      <c r="V191" s="73"/>
      <c r="W191" s="73"/>
      <c r="X191" s="73"/>
      <c r="Y191" s="73"/>
      <c r="Z191" s="73"/>
      <c r="AA191" s="73"/>
      <c r="AB191" s="73"/>
      <c r="AC191" s="73"/>
      <c r="AD191" s="73"/>
      <c r="AE191" s="73"/>
      <c r="AF191" s="73"/>
      <c r="AG191" s="73"/>
      <c r="AH191" s="73"/>
      <c r="AI191" s="73"/>
      <c r="AJ191" s="73"/>
      <c r="AK191" s="73"/>
      <c r="AL191" s="73"/>
      <c r="AM191" s="73"/>
      <c r="AN191" s="73"/>
      <c r="AO191" s="73"/>
      <c r="AP191" s="73"/>
      <c r="AQ191" s="73"/>
      <c r="AR191" s="73"/>
      <c r="AS191" s="73"/>
      <c r="AT191" s="73"/>
      <c r="AU191" s="73"/>
      <c r="AV191" s="73"/>
      <c r="AW191" s="73"/>
      <c r="AX191" s="73"/>
      <c r="AY191" s="73"/>
      <c r="AZ191" s="73"/>
      <c r="BA191" s="73"/>
      <c r="BB191" s="73"/>
      <c r="BC191" s="73"/>
      <c r="BD191" s="73"/>
      <c r="BE191" s="73"/>
      <c r="BF191" s="73"/>
      <c r="BG191" s="73"/>
      <c r="BH191" s="73"/>
    </row>
    <row r="192" spans="1:60" x14ac:dyDescent="0.25">
      <c r="A192" s="73"/>
      <c r="J192" s="73"/>
      <c r="K192" s="73"/>
      <c r="L192" s="73"/>
      <c r="M192" s="73"/>
      <c r="N192" s="73"/>
      <c r="O192" s="73"/>
      <c r="P192" s="73"/>
      <c r="Q192" s="73"/>
      <c r="R192" s="73"/>
      <c r="S192" s="73"/>
      <c r="T192" s="73"/>
      <c r="U192" s="73"/>
      <c r="V192" s="73"/>
      <c r="W192" s="73"/>
      <c r="X192" s="73"/>
      <c r="Y192" s="73"/>
      <c r="Z192" s="73"/>
      <c r="AA192" s="73"/>
      <c r="AB192" s="73"/>
      <c r="AC192" s="73"/>
      <c r="AD192" s="73"/>
      <c r="AE192" s="73"/>
      <c r="AF192" s="73"/>
      <c r="AG192" s="73"/>
      <c r="AH192" s="73"/>
      <c r="AI192" s="73"/>
      <c r="AJ192" s="73"/>
      <c r="AK192" s="73"/>
      <c r="AL192" s="73"/>
      <c r="AM192" s="73"/>
      <c r="AN192" s="73"/>
      <c r="AO192" s="73"/>
      <c r="AP192" s="73"/>
      <c r="AQ192" s="73"/>
      <c r="AR192" s="73"/>
      <c r="AS192" s="73"/>
      <c r="AT192" s="73"/>
      <c r="AU192" s="73"/>
      <c r="AV192" s="73"/>
      <c r="AW192" s="73"/>
      <c r="AX192" s="73"/>
      <c r="AY192" s="73"/>
      <c r="AZ192" s="73"/>
      <c r="BA192" s="73"/>
      <c r="BB192" s="73"/>
      <c r="BC192" s="73"/>
      <c r="BD192" s="73"/>
      <c r="BE192" s="73"/>
      <c r="BF192" s="73"/>
      <c r="BG192" s="73"/>
      <c r="BH192" s="73"/>
    </row>
    <row r="193" spans="1:60" x14ac:dyDescent="0.25">
      <c r="A193" s="73"/>
      <c r="J193" s="73"/>
      <c r="K193" s="73"/>
      <c r="L193" s="73"/>
      <c r="M193" s="73"/>
      <c r="N193" s="73"/>
      <c r="O193" s="73"/>
      <c r="P193" s="73"/>
      <c r="Q193" s="73"/>
      <c r="R193" s="73"/>
      <c r="S193" s="73"/>
      <c r="T193" s="73"/>
      <c r="U193" s="73"/>
      <c r="V193" s="73"/>
      <c r="W193" s="73"/>
      <c r="X193" s="73"/>
      <c r="Y193" s="73"/>
      <c r="Z193" s="73"/>
      <c r="AA193" s="73"/>
      <c r="AB193" s="73"/>
      <c r="AC193" s="73"/>
      <c r="AD193" s="73"/>
      <c r="AE193" s="73"/>
      <c r="AF193" s="73"/>
      <c r="AG193" s="73"/>
      <c r="AH193" s="73"/>
      <c r="AI193" s="73"/>
      <c r="AJ193" s="73"/>
      <c r="AK193" s="73"/>
      <c r="AL193" s="73"/>
      <c r="AM193" s="73"/>
      <c r="AN193" s="73"/>
      <c r="AO193" s="73"/>
      <c r="AP193" s="73"/>
      <c r="AQ193" s="73"/>
      <c r="AR193" s="73"/>
      <c r="AS193" s="73"/>
      <c r="AT193" s="73"/>
      <c r="AU193" s="73"/>
      <c r="AV193" s="73"/>
      <c r="AW193" s="73"/>
      <c r="AX193" s="73"/>
      <c r="AY193" s="73"/>
      <c r="AZ193" s="73"/>
      <c r="BA193" s="73"/>
      <c r="BB193" s="73"/>
      <c r="BC193" s="73"/>
      <c r="BD193" s="73"/>
      <c r="BE193" s="73"/>
      <c r="BF193" s="73"/>
      <c r="BG193" s="73"/>
      <c r="BH193" s="73"/>
    </row>
    <row r="194" spans="1:60" x14ac:dyDescent="0.25">
      <c r="A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73"/>
    </row>
    <row r="195" spans="1:60" x14ac:dyDescent="0.25">
      <c r="A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c r="AU195" s="73"/>
      <c r="AV195" s="73"/>
      <c r="AW195" s="73"/>
      <c r="AX195" s="73"/>
      <c r="AY195" s="73"/>
      <c r="AZ195" s="73"/>
      <c r="BA195" s="73"/>
      <c r="BB195" s="73"/>
      <c r="BC195" s="73"/>
      <c r="BD195" s="73"/>
      <c r="BE195" s="73"/>
      <c r="BF195" s="73"/>
      <c r="BG195" s="73"/>
      <c r="BH195" s="73"/>
    </row>
    <row r="196" spans="1:60" x14ac:dyDescent="0.25">
      <c r="A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c r="AU196" s="73"/>
      <c r="AV196" s="73"/>
      <c r="AW196" s="73"/>
      <c r="AX196" s="73"/>
      <c r="AY196" s="73"/>
      <c r="AZ196" s="73"/>
      <c r="BA196" s="73"/>
      <c r="BB196" s="73"/>
      <c r="BC196" s="73"/>
      <c r="BD196" s="73"/>
      <c r="BE196" s="73"/>
      <c r="BF196" s="73"/>
      <c r="BG196" s="73"/>
      <c r="BH196" s="73"/>
    </row>
    <row r="197" spans="1:60" x14ac:dyDescent="0.25">
      <c r="A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c r="AG197" s="73"/>
      <c r="AH197" s="73"/>
      <c r="AI197" s="73"/>
      <c r="AJ197" s="73"/>
      <c r="AK197" s="73"/>
      <c r="AL197" s="73"/>
      <c r="AM197" s="73"/>
      <c r="AN197" s="73"/>
      <c r="AO197" s="73"/>
      <c r="AP197" s="73"/>
      <c r="AQ197" s="73"/>
      <c r="AR197" s="73"/>
      <c r="AS197" s="73"/>
      <c r="AT197" s="73"/>
      <c r="AU197" s="73"/>
      <c r="AV197" s="73"/>
      <c r="AW197" s="73"/>
      <c r="AX197" s="73"/>
      <c r="AY197" s="73"/>
      <c r="AZ197" s="73"/>
      <c r="BA197" s="73"/>
      <c r="BB197" s="73"/>
      <c r="BC197" s="73"/>
      <c r="BD197" s="73"/>
      <c r="BE197" s="73"/>
      <c r="BF197" s="73"/>
      <c r="BG197" s="73"/>
      <c r="BH197" s="73"/>
    </row>
    <row r="198" spans="1:60" x14ac:dyDescent="0.25">
      <c r="A198" s="73"/>
      <c r="J198" s="73"/>
      <c r="K198" s="73"/>
      <c r="L198" s="73"/>
      <c r="M198" s="73"/>
      <c r="N198" s="73"/>
      <c r="O198" s="73"/>
      <c r="P198" s="73"/>
      <c r="Q198" s="73"/>
      <c r="R198" s="73"/>
      <c r="S198" s="73"/>
      <c r="T198" s="73"/>
      <c r="U198" s="73"/>
      <c r="V198" s="73"/>
      <c r="W198" s="73"/>
      <c r="X198" s="73"/>
      <c r="Y198" s="73"/>
      <c r="Z198" s="73"/>
      <c r="AA198" s="73"/>
      <c r="AB198" s="73"/>
      <c r="AC198" s="73"/>
      <c r="AD198" s="73"/>
      <c r="AE198" s="73"/>
      <c r="AF198" s="73"/>
      <c r="AG198" s="73"/>
      <c r="AH198" s="73"/>
      <c r="AI198" s="73"/>
      <c r="AJ198" s="73"/>
      <c r="AK198" s="73"/>
      <c r="AL198" s="73"/>
      <c r="AM198" s="73"/>
      <c r="AN198" s="73"/>
      <c r="AO198" s="73"/>
      <c r="AP198" s="73"/>
      <c r="AQ198" s="73"/>
      <c r="AR198" s="73"/>
      <c r="AS198" s="73"/>
      <c r="AT198" s="73"/>
      <c r="AU198" s="73"/>
      <c r="AV198" s="73"/>
      <c r="AW198" s="73"/>
      <c r="AX198" s="73"/>
      <c r="AY198" s="73"/>
      <c r="AZ198" s="73"/>
      <c r="BA198" s="73"/>
      <c r="BB198" s="73"/>
      <c r="BC198" s="73"/>
      <c r="BD198" s="73"/>
      <c r="BE198" s="73"/>
      <c r="BF198" s="73"/>
      <c r="BG198" s="73"/>
      <c r="BH198" s="73"/>
    </row>
    <row r="199" spans="1:60" x14ac:dyDescent="0.25">
      <c r="A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c r="AG199" s="73"/>
      <c r="AH199" s="73"/>
      <c r="AI199" s="73"/>
      <c r="AJ199" s="73"/>
      <c r="AK199" s="73"/>
      <c r="AL199" s="73"/>
      <c r="AM199" s="73"/>
      <c r="AN199" s="73"/>
      <c r="AO199" s="73"/>
      <c r="AP199" s="73"/>
      <c r="AQ199" s="73"/>
      <c r="AR199" s="73"/>
      <c r="AS199" s="73"/>
      <c r="AT199" s="73"/>
      <c r="AU199" s="73"/>
      <c r="AV199" s="73"/>
      <c r="AW199" s="73"/>
      <c r="AX199" s="73"/>
      <c r="AY199" s="73"/>
      <c r="AZ199" s="73"/>
      <c r="BA199" s="73"/>
      <c r="BB199" s="73"/>
      <c r="BC199" s="73"/>
      <c r="BD199" s="73"/>
      <c r="BE199" s="73"/>
      <c r="BF199" s="73"/>
      <c r="BG199" s="73"/>
      <c r="BH199" s="73"/>
    </row>
    <row r="200" spans="1:60" x14ac:dyDescent="0.25">
      <c r="A200" s="73"/>
      <c r="J200" s="73"/>
      <c r="K200" s="73"/>
      <c r="L200" s="73"/>
      <c r="M200" s="73"/>
      <c r="N200" s="73"/>
      <c r="O200" s="73"/>
      <c r="P200" s="73"/>
      <c r="Q200" s="73"/>
      <c r="R200" s="73"/>
      <c r="S200" s="73"/>
      <c r="T200" s="73"/>
      <c r="U200" s="73"/>
      <c r="V200" s="73"/>
      <c r="W200" s="73"/>
      <c r="X200" s="73"/>
      <c r="Y200" s="73"/>
      <c r="Z200" s="73"/>
      <c r="AA200" s="73"/>
      <c r="AB200" s="73"/>
      <c r="AC200" s="73"/>
      <c r="AD200" s="73"/>
      <c r="AE200" s="73"/>
      <c r="AF200" s="73"/>
      <c r="AG200" s="73"/>
      <c r="AH200" s="73"/>
      <c r="AI200" s="73"/>
      <c r="AJ200" s="73"/>
      <c r="AK200" s="73"/>
      <c r="AL200" s="73"/>
      <c r="AM200" s="73"/>
      <c r="AN200" s="73"/>
      <c r="AO200" s="73"/>
      <c r="AP200" s="73"/>
      <c r="AQ200" s="73"/>
      <c r="AR200" s="73"/>
      <c r="AS200" s="73"/>
      <c r="AT200" s="73"/>
      <c r="AU200" s="73"/>
      <c r="AV200" s="73"/>
      <c r="AW200" s="73"/>
      <c r="AX200" s="73"/>
      <c r="AY200" s="73"/>
      <c r="AZ200" s="73"/>
      <c r="BA200" s="73"/>
      <c r="BB200" s="73"/>
      <c r="BC200" s="73"/>
      <c r="BD200" s="73"/>
      <c r="BE200" s="73"/>
      <c r="BF200" s="73"/>
      <c r="BG200" s="73"/>
      <c r="BH200" s="73"/>
    </row>
    <row r="201" spans="1:60" x14ac:dyDescent="0.25">
      <c r="A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73"/>
      <c r="AK201" s="73"/>
      <c r="AL201" s="73"/>
      <c r="AM201" s="73"/>
      <c r="AN201" s="73"/>
      <c r="AO201" s="73"/>
      <c r="AP201" s="73"/>
      <c r="AQ201" s="73"/>
      <c r="AR201" s="73"/>
      <c r="AS201" s="73"/>
      <c r="AT201" s="73"/>
      <c r="AU201" s="73"/>
      <c r="AV201" s="73"/>
      <c r="AW201" s="73"/>
      <c r="AX201" s="73"/>
      <c r="AY201" s="73"/>
      <c r="AZ201" s="73"/>
      <c r="BA201" s="73"/>
      <c r="BB201" s="73"/>
      <c r="BC201" s="73"/>
      <c r="BD201" s="73"/>
      <c r="BE201" s="73"/>
      <c r="BF201" s="73"/>
      <c r="BG201" s="73"/>
      <c r="BH201" s="73"/>
    </row>
    <row r="202" spans="1:60" x14ac:dyDescent="0.25">
      <c r="A202" s="73"/>
      <c r="J202" s="73"/>
      <c r="K202" s="73"/>
      <c r="L202" s="73"/>
      <c r="M202" s="73"/>
      <c r="N202" s="73"/>
      <c r="O202" s="73"/>
      <c r="P202" s="73"/>
      <c r="Q202" s="73"/>
      <c r="R202" s="73"/>
      <c r="S202" s="73"/>
      <c r="T202" s="73"/>
      <c r="U202" s="73"/>
      <c r="V202" s="73"/>
      <c r="W202" s="73"/>
      <c r="X202" s="73"/>
      <c r="Y202" s="73"/>
      <c r="Z202" s="73"/>
      <c r="AA202" s="73"/>
      <c r="AB202" s="73"/>
      <c r="AC202" s="73"/>
      <c r="AD202" s="73"/>
      <c r="AE202" s="73"/>
      <c r="AF202" s="73"/>
      <c r="AG202" s="73"/>
      <c r="AH202" s="73"/>
      <c r="AI202" s="73"/>
      <c r="AJ202" s="73"/>
      <c r="AK202" s="73"/>
      <c r="AL202" s="73"/>
      <c r="AM202" s="73"/>
      <c r="AN202" s="73"/>
      <c r="AO202" s="73"/>
      <c r="AP202" s="73"/>
      <c r="AQ202" s="73"/>
      <c r="AR202" s="73"/>
      <c r="AS202" s="73"/>
      <c r="AT202" s="73"/>
      <c r="AU202" s="73"/>
      <c r="AV202" s="73"/>
      <c r="AW202" s="73"/>
      <c r="AX202" s="73"/>
      <c r="AY202" s="73"/>
      <c r="AZ202" s="73"/>
      <c r="BA202" s="73"/>
      <c r="BB202" s="73"/>
      <c r="BC202" s="73"/>
      <c r="BD202" s="73"/>
      <c r="BE202" s="73"/>
      <c r="BF202" s="73"/>
      <c r="BG202" s="73"/>
      <c r="BH202" s="73"/>
    </row>
    <row r="203" spans="1:60" x14ac:dyDescent="0.25">
      <c r="A203" s="73"/>
      <c r="J203" s="73"/>
      <c r="K203" s="73"/>
      <c r="L203" s="73"/>
      <c r="M203" s="73"/>
      <c r="N203" s="73"/>
      <c r="O203" s="73"/>
      <c r="P203" s="73"/>
      <c r="Q203" s="73"/>
      <c r="R203" s="73"/>
      <c r="S203" s="73"/>
      <c r="T203" s="73"/>
      <c r="U203" s="73"/>
      <c r="V203" s="73"/>
      <c r="W203" s="73"/>
      <c r="X203" s="73"/>
      <c r="Y203" s="73"/>
      <c r="Z203" s="73"/>
      <c r="AA203" s="73"/>
      <c r="AB203" s="73"/>
      <c r="AC203" s="73"/>
      <c r="AD203" s="73"/>
      <c r="AE203" s="73"/>
      <c r="AF203" s="73"/>
      <c r="AG203" s="73"/>
      <c r="AH203" s="73"/>
      <c r="AI203" s="73"/>
      <c r="AJ203" s="73"/>
      <c r="AK203" s="73"/>
      <c r="AL203" s="73"/>
      <c r="AM203" s="73"/>
      <c r="AN203" s="73"/>
      <c r="AO203" s="73"/>
      <c r="AP203" s="73"/>
      <c r="AQ203" s="73"/>
      <c r="AR203" s="73"/>
      <c r="AS203" s="73"/>
      <c r="AT203" s="73"/>
      <c r="AU203" s="73"/>
      <c r="AV203" s="73"/>
      <c r="AW203" s="73"/>
      <c r="AX203" s="73"/>
      <c r="AY203" s="73"/>
      <c r="AZ203" s="73"/>
      <c r="BA203" s="73"/>
      <c r="BB203" s="73"/>
      <c r="BC203" s="73"/>
      <c r="BD203" s="73"/>
      <c r="BE203" s="73"/>
      <c r="BF203" s="73"/>
      <c r="BG203" s="73"/>
      <c r="BH203" s="73"/>
    </row>
    <row r="204" spans="1:60" x14ac:dyDescent="0.25">
      <c r="A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c r="AN204" s="73"/>
      <c r="AO204" s="73"/>
      <c r="AP204" s="73"/>
      <c r="AQ204" s="73"/>
      <c r="AR204" s="73"/>
      <c r="AS204" s="73"/>
      <c r="AT204" s="73"/>
      <c r="AU204" s="73"/>
      <c r="AV204" s="73"/>
      <c r="AW204" s="73"/>
      <c r="AX204" s="73"/>
      <c r="AY204" s="73"/>
      <c r="AZ204" s="73"/>
      <c r="BA204" s="73"/>
      <c r="BB204" s="73"/>
      <c r="BC204" s="73"/>
      <c r="BD204" s="73"/>
      <c r="BE204" s="73"/>
      <c r="BF204" s="73"/>
      <c r="BG204" s="73"/>
      <c r="BH204" s="73"/>
    </row>
    <row r="205" spans="1:60" x14ac:dyDescent="0.25">
      <c r="A205" s="73"/>
      <c r="J205" s="73"/>
      <c r="K205" s="73"/>
      <c r="L205" s="73"/>
      <c r="M205" s="73"/>
      <c r="N205" s="73"/>
      <c r="O205" s="73"/>
      <c r="P205" s="73"/>
      <c r="Q205" s="73"/>
      <c r="R205" s="73"/>
      <c r="S205" s="73"/>
      <c r="T205" s="73"/>
      <c r="U205" s="73"/>
      <c r="V205" s="73"/>
      <c r="W205" s="73"/>
      <c r="X205" s="73"/>
      <c r="Y205" s="73"/>
      <c r="Z205" s="73"/>
      <c r="AA205" s="73"/>
      <c r="AB205" s="73"/>
      <c r="AC205" s="73"/>
      <c r="AD205" s="73"/>
      <c r="AE205" s="73"/>
      <c r="AF205" s="73"/>
      <c r="AG205" s="73"/>
      <c r="AH205" s="73"/>
      <c r="AI205" s="73"/>
      <c r="AJ205" s="73"/>
      <c r="AK205" s="73"/>
      <c r="AL205" s="73"/>
      <c r="AM205" s="73"/>
      <c r="AN205" s="73"/>
      <c r="AO205" s="73"/>
      <c r="AP205" s="73"/>
      <c r="AQ205" s="73"/>
      <c r="AR205" s="73"/>
      <c r="AS205" s="73"/>
      <c r="AT205" s="73"/>
      <c r="AU205" s="73"/>
      <c r="AV205" s="73"/>
      <c r="AW205" s="73"/>
      <c r="AX205" s="73"/>
      <c r="AY205" s="73"/>
      <c r="AZ205" s="73"/>
      <c r="BA205" s="73"/>
      <c r="BB205" s="73"/>
      <c r="BC205" s="73"/>
      <c r="BD205" s="73"/>
      <c r="BE205" s="73"/>
      <c r="BF205" s="73"/>
      <c r="BG205" s="73"/>
      <c r="BH205" s="73"/>
    </row>
    <row r="206" spans="1:60" x14ac:dyDescent="0.25">
      <c r="A206" s="73"/>
      <c r="J206" s="73"/>
      <c r="K206" s="73"/>
      <c r="L206" s="73"/>
      <c r="M206" s="73"/>
      <c r="N206" s="73"/>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73"/>
      <c r="AL206" s="73"/>
      <c r="AM206" s="73"/>
      <c r="AN206" s="73"/>
      <c r="AO206" s="73"/>
      <c r="AP206" s="73"/>
      <c r="AQ206" s="73"/>
      <c r="AR206" s="73"/>
      <c r="AS206" s="73"/>
      <c r="AT206" s="73"/>
      <c r="AU206" s="73"/>
      <c r="AV206" s="73"/>
      <c r="AW206" s="73"/>
      <c r="AX206" s="73"/>
      <c r="AY206" s="73"/>
      <c r="AZ206" s="73"/>
      <c r="BA206" s="73"/>
      <c r="BB206" s="73"/>
      <c r="BC206" s="73"/>
      <c r="BD206" s="73"/>
      <c r="BE206" s="73"/>
      <c r="BF206" s="73"/>
      <c r="BG206" s="73"/>
      <c r="BH206" s="73"/>
    </row>
    <row r="207" spans="1:60" x14ac:dyDescent="0.25">
      <c r="A207" s="73"/>
      <c r="J207" s="73"/>
      <c r="K207" s="73"/>
      <c r="L207" s="73"/>
      <c r="M207" s="73"/>
      <c r="N207" s="73"/>
      <c r="O207" s="73"/>
      <c r="P207" s="73"/>
      <c r="Q207" s="73"/>
      <c r="R207" s="73"/>
      <c r="S207" s="73"/>
      <c r="T207" s="73"/>
      <c r="U207" s="73"/>
      <c r="V207" s="73"/>
      <c r="W207" s="73"/>
      <c r="X207" s="73"/>
      <c r="Y207" s="73"/>
      <c r="Z207" s="73"/>
      <c r="AA207" s="73"/>
      <c r="AB207" s="73"/>
      <c r="AC207" s="73"/>
      <c r="AD207" s="73"/>
      <c r="AE207" s="73"/>
      <c r="AF207" s="73"/>
      <c r="AG207" s="73"/>
      <c r="AH207" s="73"/>
      <c r="AI207" s="73"/>
      <c r="AJ207" s="73"/>
      <c r="AK207" s="73"/>
      <c r="AL207" s="73"/>
      <c r="AM207" s="73"/>
      <c r="AN207" s="73"/>
      <c r="AO207" s="73"/>
      <c r="AP207" s="73"/>
      <c r="AQ207" s="73"/>
      <c r="AR207" s="73"/>
      <c r="AS207" s="73"/>
      <c r="AT207" s="73"/>
      <c r="AU207" s="73"/>
      <c r="AV207" s="73"/>
      <c r="AW207" s="73"/>
      <c r="AX207" s="73"/>
      <c r="AY207" s="73"/>
      <c r="AZ207" s="73"/>
      <c r="BA207" s="73"/>
      <c r="BB207" s="73"/>
      <c r="BC207" s="73"/>
      <c r="BD207" s="73"/>
      <c r="BE207" s="73"/>
      <c r="BF207" s="73"/>
      <c r="BG207" s="73"/>
      <c r="BH207" s="73"/>
    </row>
    <row r="208" spans="1:60" x14ac:dyDescent="0.25">
      <c r="A208" s="73"/>
      <c r="J208" s="73"/>
      <c r="K208" s="73"/>
      <c r="L208" s="73"/>
      <c r="M208" s="73"/>
      <c r="N208" s="73"/>
      <c r="O208" s="73"/>
      <c r="P208" s="73"/>
      <c r="Q208" s="73"/>
      <c r="R208" s="73"/>
      <c r="S208" s="73"/>
      <c r="T208" s="73"/>
      <c r="U208" s="73"/>
      <c r="V208" s="73"/>
      <c r="W208" s="73"/>
      <c r="X208" s="73"/>
      <c r="Y208" s="73"/>
      <c r="Z208" s="73"/>
      <c r="AA208" s="73"/>
      <c r="AB208" s="73"/>
      <c r="AC208" s="73"/>
      <c r="AD208" s="73"/>
      <c r="AE208" s="73"/>
      <c r="AF208" s="73"/>
      <c r="AG208" s="73"/>
      <c r="AH208" s="73"/>
      <c r="AI208" s="73"/>
      <c r="AJ208" s="73"/>
      <c r="AK208" s="73"/>
      <c r="AL208" s="73"/>
      <c r="AM208" s="73"/>
      <c r="AN208" s="73"/>
      <c r="AO208" s="73"/>
      <c r="AP208" s="73"/>
      <c r="AQ208" s="73"/>
      <c r="AR208" s="73"/>
      <c r="AS208" s="73"/>
      <c r="AT208" s="73"/>
      <c r="AU208" s="73"/>
      <c r="AV208" s="73"/>
      <c r="AW208" s="73"/>
      <c r="AX208" s="73"/>
      <c r="AY208" s="73"/>
      <c r="AZ208" s="73"/>
      <c r="BA208" s="73"/>
      <c r="BB208" s="73"/>
      <c r="BC208" s="73"/>
      <c r="BD208" s="73"/>
      <c r="BE208" s="73"/>
      <c r="BF208" s="73"/>
      <c r="BG208" s="73"/>
      <c r="BH208" s="73"/>
    </row>
    <row r="209" spans="1:60" x14ac:dyDescent="0.25">
      <c r="A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row>
    <row r="210" spans="1:60" x14ac:dyDescent="0.25">
      <c r="A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row>
    <row r="211" spans="1:60" x14ac:dyDescent="0.25">
      <c r="A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row>
    <row r="212" spans="1:60" x14ac:dyDescent="0.25">
      <c r="A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c r="AI212" s="73"/>
      <c r="AJ212" s="73"/>
      <c r="AK212" s="73"/>
      <c r="AL212" s="73"/>
      <c r="AM212" s="73"/>
      <c r="AN212" s="73"/>
      <c r="AO212" s="73"/>
      <c r="AP212" s="73"/>
      <c r="AQ212" s="73"/>
      <c r="AR212" s="73"/>
      <c r="AS212" s="73"/>
      <c r="AT212" s="73"/>
      <c r="AU212" s="73"/>
      <c r="AV212" s="73"/>
      <c r="AW212" s="73"/>
      <c r="AX212" s="73"/>
      <c r="AY212" s="73"/>
      <c r="AZ212" s="73"/>
      <c r="BA212" s="73"/>
      <c r="BB212" s="73"/>
      <c r="BC212" s="73"/>
      <c r="BD212" s="73"/>
      <c r="BE212" s="73"/>
      <c r="BF212" s="73"/>
      <c r="BG212" s="73"/>
      <c r="BH212" s="73"/>
    </row>
    <row r="213" spans="1:60" x14ac:dyDescent="0.25">
      <c r="A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I213" s="73"/>
      <c r="AJ213" s="73"/>
      <c r="AK213" s="73"/>
      <c r="AL213" s="73"/>
      <c r="AM213" s="73"/>
      <c r="AN213" s="73"/>
      <c r="AO213" s="73"/>
      <c r="AP213" s="73"/>
      <c r="AQ213" s="73"/>
      <c r="AR213" s="73"/>
      <c r="AS213" s="73"/>
      <c r="AT213" s="73"/>
      <c r="AU213" s="73"/>
      <c r="AV213" s="73"/>
      <c r="AW213" s="73"/>
      <c r="AX213" s="73"/>
      <c r="AY213" s="73"/>
      <c r="AZ213" s="73"/>
      <c r="BA213" s="73"/>
      <c r="BB213" s="73"/>
      <c r="BC213" s="73"/>
      <c r="BD213" s="73"/>
      <c r="BE213" s="73"/>
      <c r="BF213" s="73"/>
      <c r="BG213" s="73"/>
      <c r="BH213" s="73"/>
    </row>
    <row r="214" spans="1:60" x14ac:dyDescent="0.25">
      <c r="A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c r="AN214" s="73"/>
      <c r="AO214" s="73"/>
      <c r="AP214" s="73"/>
      <c r="AQ214" s="73"/>
      <c r="AR214" s="73"/>
      <c r="AS214" s="73"/>
      <c r="AT214" s="73"/>
      <c r="AU214" s="73"/>
      <c r="AV214" s="73"/>
      <c r="AW214" s="73"/>
      <c r="AX214" s="73"/>
      <c r="AY214" s="73"/>
      <c r="AZ214" s="73"/>
      <c r="BA214" s="73"/>
      <c r="BB214" s="73"/>
      <c r="BC214" s="73"/>
      <c r="BD214" s="73"/>
      <c r="BE214" s="73"/>
      <c r="BF214" s="73"/>
      <c r="BG214" s="73"/>
      <c r="BH214" s="73"/>
    </row>
    <row r="215" spans="1:60" x14ac:dyDescent="0.25">
      <c r="A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c r="AG215" s="73"/>
      <c r="AH215" s="73"/>
      <c r="AI215" s="73"/>
      <c r="AJ215" s="73"/>
      <c r="AK215" s="73"/>
      <c r="AL215" s="73"/>
      <c r="AM215" s="73"/>
      <c r="AN215" s="73"/>
      <c r="AO215" s="73"/>
      <c r="AP215" s="73"/>
      <c r="AQ215" s="73"/>
      <c r="AR215" s="73"/>
      <c r="AS215" s="73"/>
      <c r="AT215" s="73"/>
      <c r="AU215" s="73"/>
      <c r="AV215" s="73"/>
      <c r="AW215" s="73"/>
      <c r="AX215" s="73"/>
      <c r="AY215" s="73"/>
      <c r="AZ215" s="73"/>
      <c r="BA215" s="73"/>
      <c r="BB215" s="73"/>
      <c r="BC215" s="73"/>
      <c r="BD215" s="73"/>
      <c r="BE215" s="73"/>
      <c r="BF215" s="73"/>
      <c r="BG215" s="73"/>
      <c r="BH215" s="73"/>
    </row>
    <row r="216" spans="1:60" x14ac:dyDescent="0.25">
      <c r="A216" s="73"/>
      <c r="J216" s="73"/>
      <c r="K216" s="73"/>
      <c r="L216" s="73"/>
      <c r="M216" s="73"/>
      <c r="N216" s="73"/>
      <c r="O216" s="73"/>
      <c r="P216" s="73"/>
      <c r="Q216" s="73"/>
      <c r="R216" s="73"/>
      <c r="S216" s="73"/>
      <c r="T216" s="73"/>
      <c r="U216" s="73"/>
      <c r="V216" s="73"/>
      <c r="W216" s="73"/>
      <c r="X216" s="73"/>
      <c r="Y216" s="73"/>
      <c r="Z216" s="73"/>
      <c r="AA216" s="73"/>
      <c r="AB216" s="73"/>
      <c r="AC216" s="73"/>
      <c r="AD216" s="73"/>
      <c r="AE216" s="73"/>
      <c r="AF216" s="73"/>
      <c r="AG216" s="73"/>
      <c r="AH216" s="73"/>
      <c r="AI216" s="73"/>
      <c r="AJ216" s="73"/>
      <c r="AK216" s="73"/>
      <c r="AL216" s="73"/>
      <c r="AM216" s="73"/>
      <c r="AN216" s="73"/>
      <c r="AO216" s="73"/>
      <c r="AP216" s="73"/>
      <c r="AQ216" s="73"/>
      <c r="AR216" s="73"/>
      <c r="AS216" s="73"/>
      <c r="AT216" s="73"/>
      <c r="AU216" s="73"/>
      <c r="AV216" s="73"/>
      <c r="AW216" s="73"/>
      <c r="AX216" s="73"/>
      <c r="AY216" s="73"/>
      <c r="AZ216" s="73"/>
      <c r="BA216" s="73"/>
      <c r="BB216" s="73"/>
      <c r="BC216" s="73"/>
      <c r="BD216" s="73"/>
      <c r="BE216" s="73"/>
      <c r="BF216" s="73"/>
      <c r="BG216" s="73"/>
      <c r="BH216" s="73"/>
    </row>
    <row r="217" spans="1:60" x14ac:dyDescent="0.25">
      <c r="A217" s="73"/>
      <c r="J217" s="73"/>
      <c r="K217" s="73"/>
      <c r="L217" s="73"/>
      <c r="M217" s="73"/>
      <c r="N217" s="73"/>
      <c r="O217" s="73"/>
      <c r="P217" s="73"/>
      <c r="Q217" s="73"/>
      <c r="R217" s="73"/>
      <c r="S217" s="73"/>
      <c r="T217" s="73"/>
      <c r="U217" s="73"/>
      <c r="V217" s="73"/>
      <c r="W217" s="73"/>
      <c r="X217" s="73"/>
      <c r="Y217" s="73"/>
      <c r="Z217" s="73"/>
      <c r="AA217" s="73"/>
      <c r="AB217" s="73"/>
      <c r="AC217" s="73"/>
      <c r="AD217" s="73"/>
      <c r="AE217" s="73"/>
      <c r="AF217" s="73"/>
      <c r="AG217" s="73"/>
      <c r="AH217" s="73"/>
      <c r="AI217" s="73"/>
      <c r="AJ217" s="73"/>
      <c r="AK217" s="73"/>
      <c r="AL217" s="73"/>
      <c r="AM217" s="73"/>
      <c r="AN217" s="73"/>
      <c r="AO217" s="73"/>
      <c r="AP217" s="73"/>
      <c r="AQ217" s="73"/>
      <c r="AR217" s="73"/>
      <c r="AS217" s="73"/>
      <c r="AT217" s="73"/>
      <c r="AU217" s="73"/>
      <c r="AV217" s="73"/>
      <c r="AW217" s="73"/>
      <c r="AX217" s="73"/>
      <c r="AY217" s="73"/>
      <c r="AZ217" s="73"/>
      <c r="BA217" s="73"/>
      <c r="BB217" s="73"/>
      <c r="BC217" s="73"/>
      <c r="BD217" s="73"/>
      <c r="BE217" s="73"/>
      <c r="BF217" s="73"/>
      <c r="BG217" s="73"/>
      <c r="BH217" s="73"/>
    </row>
    <row r="218" spans="1:60" x14ac:dyDescent="0.25">
      <c r="A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row>
    <row r="219" spans="1:60" x14ac:dyDescent="0.25">
      <c r="A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c r="AT219" s="73"/>
      <c r="AU219" s="73"/>
      <c r="AV219" s="73"/>
      <c r="AW219" s="73"/>
      <c r="AX219" s="73"/>
      <c r="AY219" s="73"/>
      <c r="AZ219" s="73"/>
      <c r="BA219" s="73"/>
      <c r="BB219" s="73"/>
      <c r="BC219" s="73"/>
      <c r="BD219" s="73"/>
      <c r="BE219" s="73"/>
      <c r="BF219" s="73"/>
      <c r="BG219" s="73"/>
      <c r="BH219" s="73"/>
    </row>
    <row r="220" spans="1:60" x14ac:dyDescent="0.25">
      <c r="A220" s="73"/>
      <c r="J220" s="73"/>
      <c r="K220" s="73"/>
      <c r="L220" s="73"/>
      <c r="M220" s="73"/>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row>
    <row r="221" spans="1:60" x14ac:dyDescent="0.25">
      <c r="A221" s="73"/>
      <c r="J221" s="73"/>
      <c r="K221" s="73"/>
      <c r="L221" s="73"/>
      <c r="M221" s="73"/>
      <c r="N221" s="73"/>
      <c r="O221" s="73"/>
      <c r="P221" s="73"/>
      <c r="Q221" s="73"/>
      <c r="R221" s="73"/>
      <c r="S221" s="73"/>
      <c r="T221" s="73"/>
      <c r="U221" s="73"/>
      <c r="V221" s="73"/>
      <c r="W221" s="73"/>
      <c r="X221" s="73"/>
      <c r="Y221" s="73"/>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row>
    <row r="222" spans="1:60" x14ac:dyDescent="0.25">
      <c r="A222" s="73"/>
      <c r="J222" s="73"/>
      <c r="K222" s="73"/>
      <c r="L222" s="73"/>
      <c r="M222" s="73"/>
      <c r="N222" s="73"/>
      <c r="O222" s="73"/>
      <c r="P222" s="73"/>
      <c r="Q222" s="73"/>
      <c r="R222" s="73"/>
      <c r="S222" s="73"/>
      <c r="T222" s="73"/>
      <c r="U222" s="73"/>
      <c r="V222" s="73"/>
      <c r="W222" s="73"/>
      <c r="X222" s="73"/>
      <c r="Y222" s="73"/>
      <c r="Z222" s="73"/>
      <c r="AA222" s="73"/>
      <c r="AB222" s="73"/>
      <c r="AC222" s="73"/>
      <c r="AD222" s="73"/>
      <c r="AE222" s="73"/>
      <c r="AF222" s="73"/>
      <c r="AG222" s="73"/>
      <c r="AH222" s="73"/>
      <c r="AI222" s="73"/>
      <c r="AJ222" s="73"/>
      <c r="AK222" s="73"/>
      <c r="AL222" s="73"/>
      <c r="AM222" s="73"/>
      <c r="AN222" s="73"/>
      <c r="AO222" s="73"/>
      <c r="AP222" s="73"/>
      <c r="AQ222" s="73"/>
      <c r="AR222" s="73"/>
      <c r="AS222" s="73"/>
      <c r="AT222" s="73"/>
      <c r="AU222" s="73"/>
      <c r="AV222" s="73"/>
      <c r="AW222" s="73"/>
      <c r="AX222" s="73"/>
      <c r="AY222" s="73"/>
      <c r="AZ222" s="73"/>
      <c r="BA222" s="73"/>
      <c r="BB222" s="73"/>
      <c r="BC222" s="73"/>
      <c r="BD222" s="73"/>
      <c r="BE222" s="73"/>
      <c r="BF222" s="73"/>
      <c r="BG222" s="73"/>
      <c r="BH222" s="73"/>
    </row>
    <row r="223" spans="1:60" x14ac:dyDescent="0.25">
      <c r="A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73"/>
      <c r="AK223" s="73"/>
      <c r="AL223" s="73"/>
      <c r="AM223" s="73"/>
      <c r="AN223" s="73"/>
      <c r="AO223" s="73"/>
      <c r="AP223" s="73"/>
      <c r="AQ223" s="73"/>
      <c r="AR223" s="73"/>
      <c r="AS223" s="73"/>
      <c r="AT223" s="73"/>
      <c r="AU223" s="73"/>
      <c r="AV223" s="73"/>
      <c r="AW223" s="73"/>
      <c r="AX223" s="73"/>
      <c r="AY223" s="73"/>
      <c r="AZ223" s="73"/>
      <c r="BA223" s="73"/>
      <c r="BB223" s="73"/>
      <c r="BC223" s="73"/>
      <c r="BD223" s="73"/>
      <c r="BE223" s="73"/>
      <c r="BF223" s="73"/>
      <c r="BG223" s="73"/>
      <c r="BH223" s="73"/>
    </row>
    <row r="224" spans="1:60" x14ac:dyDescent="0.25">
      <c r="A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c r="AN224" s="73"/>
      <c r="AO224" s="73"/>
      <c r="AP224" s="73"/>
      <c r="AQ224" s="73"/>
      <c r="AR224" s="73"/>
      <c r="AS224" s="73"/>
      <c r="AT224" s="73"/>
      <c r="AU224" s="73"/>
      <c r="AV224" s="73"/>
      <c r="AW224" s="73"/>
      <c r="AX224" s="73"/>
      <c r="AY224" s="73"/>
      <c r="AZ224" s="73"/>
      <c r="BA224" s="73"/>
      <c r="BB224" s="73"/>
      <c r="BC224" s="73"/>
      <c r="BD224" s="73"/>
      <c r="BE224" s="73"/>
      <c r="BF224" s="73"/>
      <c r="BG224" s="73"/>
      <c r="BH224" s="73"/>
    </row>
    <row r="225" spans="1:60" x14ac:dyDescent="0.25">
      <c r="A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73"/>
      <c r="AK225" s="73"/>
      <c r="AL225" s="73"/>
      <c r="AM225" s="73"/>
      <c r="AN225" s="73"/>
      <c r="AO225" s="73"/>
      <c r="AP225" s="73"/>
      <c r="AQ225" s="73"/>
      <c r="AR225" s="73"/>
      <c r="AS225" s="73"/>
      <c r="AT225" s="73"/>
      <c r="AU225" s="73"/>
      <c r="AV225" s="73"/>
      <c r="AW225" s="73"/>
      <c r="AX225" s="73"/>
      <c r="AY225" s="73"/>
      <c r="AZ225" s="73"/>
      <c r="BA225" s="73"/>
      <c r="BB225" s="73"/>
      <c r="BC225" s="73"/>
      <c r="BD225" s="73"/>
      <c r="BE225" s="73"/>
      <c r="BF225" s="73"/>
      <c r="BG225" s="73"/>
      <c r="BH225" s="73"/>
    </row>
    <row r="226" spans="1:60" x14ac:dyDescent="0.25">
      <c r="A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row>
    <row r="227" spans="1:60" x14ac:dyDescent="0.25">
      <c r="A227" s="73"/>
      <c r="J227" s="73"/>
      <c r="K227" s="73"/>
      <c r="L227" s="73"/>
      <c r="M227" s="73"/>
      <c r="N227" s="73"/>
      <c r="O227" s="73"/>
      <c r="P227" s="73"/>
      <c r="Q227" s="73"/>
      <c r="R227" s="73"/>
      <c r="S227" s="73"/>
      <c r="T227" s="73"/>
      <c r="U227" s="73"/>
      <c r="V227" s="73"/>
      <c r="W227" s="73"/>
      <c r="X227" s="73"/>
      <c r="Y227" s="73"/>
      <c r="Z227" s="73"/>
      <c r="AA227" s="73"/>
      <c r="AB227" s="73"/>
      <c r="AC227" s="73"/>
      <c r="AD227" s="73"/>
      <c r="AE227" s="73"/>
      <c r="AF227" s="73"/>
      <c r="AG227" s="73"/>
      <c r="AH227" s="73"/>
      <c r="AI227" s="73"/>
      <c r="AJ227" s="73"/>
      <c r="AK227" s="73"/>
      <c r="AL227" s="73"/>
      <c r="AM227" s="73"/>
      <c r="AN227" s="73"/>
      <c r="AO227" s="73"/>
      <c r="AP227" s="73"/>
      <c r="AQ227" s="73"/>
      <c r="AR227" s="73"/>
      <c r="AS227" s="73"/>
      <c r="AT227" s="73"/>
      <c r="AU227" s="73"/>
      <c r="AV227" s="73"/>
      <c r="AW227" s="73"/>
      <c r="AX227" s="73"/>
      <c r="AY227" s="73"/>
      <c r="AZ227" s="73"/>
      <c r="BA227" s="73"/>
      <c r="BB227" s="73"/>
      <c r="BC227" s="73"/>
      <c r="BD227" s="73"/>
      <c r="BE227" s="73"/>
      <c r="BF227" s="73"/>
      <c r="BG227" s="73"/>
      <c r="BH227" s="73"/>
    </row>
    <row r="228" spans="1:60" x14ac:dyDescent="0.25">
      <c r="A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3"/>
      <c r="AH228" s="73"/>
      <c r="AI228" s="73"/>
      <c r="AJ228" s="73"/>
      <c r="AK228" s="73"/>
      <c r="AL228" s="73"/>
      <c r="AM228" s="73"/>
      <c r="AN228" s="73"/>
      <c r="AO228" s="73"/>
      <c r="AP228" s="73"/>
      <c r="AQ228" s="73"/>
      <c r="AR228" s="73"/>
      <c r="AS228" s="73"/>
      <c r="AT228" s="73"/>
      <c r="AU228" s="73"/>
      <c r="AV228" s="73"/>
      <c r="AW228" s="73"/>
      <c r="AX228" s="73"/>
      <c r="AY228" s="73"/>
      <c r="AZ228" s="73"/>
      <c r="BA228" s="73"/>
      <c r="BB228" s="73"/>
      <c r="BC228" s="73"/>
      <c r="BD228" s="73"/>
      <c r="BE228" s="73"/>
      <c r="BF228" s="73"/>
      <c r="BG228" s="73"/>
      <c r="BH228" s="73"/>
    </row>
    <row r="229" spans="1:60" x14ac:dyDescent="0.25">
      <c r="A229" s="73"/>
      <c r="J229" s="73"/>
      <c r="K229" s="73"/>
      <c r="L229" s="73"/>
      <c r="M229" s="73"/>
      <c r="N229" s="73"/>
      <c r="O229" s="73"/>
      <c r="P229" s="73"/>
      <c r="Q229" s="73"/>
      <c r="R229" s="73"/>
      <c r="S229" s="73"/>
      <c r="T229" s="73"/>
      <c r="U229" s="73"/>
      <c r="V229" s="73"/>
      <c r="W229" s="73"/>
      <c r="X229" s="73"/>
      <c r="Y229" s="73"/>
      <c r="Z229" s="73"/>
      <c r="AA229" s="73"/>
      <c r="AB229" s="73"/>
      <c r="AC229" s="73"/>
      <c r="AD229" s="73"/>
      <c r="AE229" s="73"/>
      <c r="AF229" s="73"/>
      <c r="AG229" s="73"/>
      <c r="AH229" s="73"/>
      <c r="AI229" s="73"/>
      <c r="AJ229" s="73"/>
      <c r="AK229" s="73"/>
      <c r="AL229" s="73"/>
      <c r="AM229" s="73"/>
      <c r="AN229" s="73"/>
      <c r="AO229" s="73"/>
      <c r="AP229" s="73"/>
      <c r="AQ229" s="73"/>
      <c r="AR229" s="73"/>
      <c r="AS229" s="73"/>
      <c r="AT229" s="73"/>
      <c r="AU229" s="73"/>
      <c r="AV229" s="73"/>
      <c r="AW229" s="73"/>
      <c r="AX229" s="73"/>
      <c r="AY229" s="73"/>
      <c r="AZ229" s="73"/>
      <c r="BA229" s="73"/>
      <c r="BB229" s="73"/>
      <c r="BC229" s="73"/>
      <c r="BD229" s="73"/>
      <c r="BE229" s="73"/>
      <c r="BF229" s="73"/>
      <c r="BG229" s="73"/>
      <c r="BH229" s="73"/>
    </row>
    <row r="230" spans="1:60" x14ac:dyDescent="0.25">
      <c r="A230" s="73"/>
      <c r="J230" s="73"/>
      <c r="K230" s="73"/>
      <c r="L230" s="73"/>
      <c r="M230" s="73"/>
      <c r="N230" s="73"/>
      <c r="O230" s="73"/>
      <c r="P230" s="73"/>
      <c r="Q230" s="73"/>
      <c r="R230" s="73"/>
      <c r="S230" s="73"/>
      <c r="T230" s="73"/>
      <c r="U230" s="73"/>
      <c r="V230" s="73"/>
      <c r="W230" s="73"/>
      <c r="X230" s="73"/>
      <c r="Y230" s="73"/>
      <c r="Z230" s="73"/>
      <c r="AA230" s="73"/>
      <c r="AB230" s="73"/>
      <c r="AC230" s="73"/>
      <c r="AD230" s="73"/>
      <c r="AE230" s="73"/>
      <c r="AF230" s="73"/>
      <c r="AG230" s="73"/>
      <c r="AH230" s="73"/>
      <c r="AI230" s="73"/>
      <c r="AJ230" s="73"/>
      <c r="AK230" s="73"/>
      <c r="AL230" s="73"/>
      <c r="AM230" s="73"/>
      <c r="AN230" s="73"/>
      <c r="AO230" s="73"/>
      <c r="AP230" s="73"/>
      <c r="AQ230" s="73"/>
      <c r="AR230" s="73"/>
      <c r="AS230" s="73"/>
      <c r="AT230" s="73"/>
      <c r="AU230" s="73"/>
      <c r="AV230" s="73"/>
      <c r="AW230" s="73"/>
      <c r="AX230" s="73"/>
      <c r="AY230" s="73"/>
      <c r="AZ230" s="73"/>
      <c r="BA230" s="73"/>
      <c r="BB230" s="73"/>
      <c r="BC230" s="73"/>
      <c r="BD230" s="73"/>
      <c r="BE230" s="73"/>
      <c r="BF230" s="73"/>
      <c r="BG230" s="73"/>
      <c r="BH230" s="73"/>
    </row>
    <row r="231" spans="1:60" x14ac:dyDescent="0.25">
      <c r="A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c r="AZ231" s="73"/>
      <c r="BA231" s="73"/>
      <c r="BB231" s="73"/>
      <c r="BC231" s="73"/>
      <c r="BD231" s="73"/>
      <c r="BE231" s="73"/>
      <c r="BF231" s="73"/>
      <c r="BG231" s="73"/>
      <c r="BH231" s="73"/>
    </row>
    <row r="232" spans="1:60" x14ac:dyDescent="0.25">
      <c r="A232" s="73"/>
      <c r="J232" s="73"/>
      <c r="K232" s="73"/>
      <c r="L232" s="73"/>
      <c r="M232" s="73"/>
      <c r="N232" s="73"/>
      <c r="O232" s="73"/>
      <c r="P232" s="73"/>
      <c r="Q232" s="73"/>
      <c r="R232" s="73"/>
      <c r="S232" s="73"/>
      <c r="T232" s="73"/>
      <c r="U232" s="73"/>
      <c r="V232" s="73"/>
      <c r="W232" s="73"/>
      <c r="X232" s="73"/>
      <c r="Y232" s="73"/>
      <c r="Z232" s="73"/>
      <c r="AA232" s="73"/>
      <c r="AB232" s="73"/>
      <c r="AC232" s="73"/>
      <c r="AD232" s="73"/>
      <c r="AE232" s="73"/>
      <c r="AF232" s="73"/>
      <c r="AG232" s="73"/>
      <c r="AH232" s="73"/>
      <c r="AI232" s="73"/>
      <c r="AJ232" s="73"/>
      <c r="AK232" s="73"/>
      <c r="AL232" s="73"/>
      <c r="AM232" s="73"/>
      <c r="AN232" s="73"/>
      <c r="AO232" s="73"/>
      <c r="AP232" s="73"/>
      <c r="AQ232" s="73"/>
      <c r="AR232" s="73"/>
      <c r="AS232" s="73"/>
      <c r="AT232" s="73"/>
      <c r="AU232" s="73"/>
      <c r="AV232" s="73"/>
      <c r="AW232" s="73"/>
      <c r="AX232" s="73"/>
      <c r="AY232" s="73"/>
      <c r="AZ232" s="73"/>
      <c r="BA232" s="73"/>
      <c r="BB232" s="73"/>
      <c r="BC232" s="73"/>
      <c r="BD232" s="73"/>
      <c r="BE232" s="73"/>
      <c r="BF232" s="73"/>
      <c r="BG232" s="73"/>
      <c r="BH232" s="73"/>
    </row>
    <row r="233" spans="1:60" x14ac:dyDescent="0.25">
      <c r="A233" s="73"/>
      <c r="J233" s="73"/>
      <c r="K233" s="73"/>
      <c r="L233" s="73"/>
      <c r="M233" s="73"/>
      <c r="N233" s="73"/>
      <c r="O233" s="73"/>
      <c r="P233" s="73"/>
      <c r="Q233" s="73"/>
      <c r="R233" s="73"/>
      <c r="S233" s="73"/>
      <c r="T233" s="73"/>
      <c r="U233" s="73"/>
      <c r="V233" s="73"/>
      <c r="W233" s="73"/>
      <c r="X233" s="73"/>
      <c r="Y233" s="73"/>
      <c r="Z233" s="73"/>
      <c r="AA233" s="73"/>
      <c r="AB233" s="73"/>
      <c r="AC233" s="73"/>
      <c r="AD233" s="73"/>
      <c r="AE233" s="73"/>
      <c r="AF233" s="73"/>
      <c r="AG233" s="73"/>
      <c r="AH233" s="73"/>
      <c r="AI233" s="73"/>
      <c r="AJ233" s="73"/>
      <c r="AK233" s="73"/>
      <c r="AL233" s="73"/>
      <c r="AM233" s="73"/>
      <c r="AN233" s="73"/>
      <c r="AO233" s="73"/>
      <c r="AP233" s="73"/>
      <c r="AQ233" s="73"/>
      <c r="AR233" s="73"/>
      <c r="AS233" s="73"/>
      <c r="AT233" s="73"/>
      <c r="AU233" s="73"/>
      <c r="AV233" s="73"/>
      <c r="AW233" s="73"/>
      <c r="AX233" s="73"/>
      <c r="AY233" s="73"/>
      <c r="AZ233" s="73"/>
      <c r="BA233" s="73"/>
      <c r="BB233" s="73"/>
      <c r="BC233" s="73"/>
      <c r="BD233" s="73"/>
      <c r="BE233" s="73"/>
      <c r="BF233" s="73"/>
      <c r="BG233" s="73"/>
      <c r="BH233" s="73"/>
    </row>
    <row r="234" spans="1:60" x14ac:dyDescent="0.25">
      <c r="A234" s="73"/>
      <c r="J234" s="73"/>
      <c r="K234" s="73"/>
      <c r="L234" s="73"/>
      <c r="M234" s="73"/>
      <c r="N234" s="73"/>
      <c r="O234" s="73"/>
      <c r="P234" s="73"/>
      <c r="Q234" s="73"/>
      <c r="R234" s="73"/>
      <c r="S234" s="73"/>
      <c r="T234" s="73"/>
      <c r="U234" s="73"/>
      <c r="V234" s="73"/>
      <c r="W234" s="73"/>
      <c r="X234" s="73"/>
      <c r="Y234" s="73"/>
      <c r="Z234" s="73"/>
      <c r="AA234" s="73"/>
      <c r="AB234" s="73"/>
      <c r="AC234" s="73"/>
      <c r="AD234" s="73"/>
      <c r="AE234" s="73"/>
      <c r="AF234" s="73"/>
      <c r="AG234" s="73"/>
      <c r="AH234" s="73"/>
      <c r="AI234" s="73"/>
      <c r="AJ234" s="73"/>
      <c r="AK234" s="73"/>
      <c r="AL234" s="73"/>
      <c r="AM234" s="73"/>
      <c r="AN234" s="73"/>
      <c r="AO234" s="73"/>
      <c r="AP234" s="73"/>
      <c r="AQ234" s="73"/>
      <c r="AR234" s="73"/>
      <c r="AS234" s="73"/>
      <c r="AT234" s="73"/>
      <c r="AU234" s="73"/>
      <c r="AV234" s="73"/>
      <c r="AW234" s="73"/>
      <c r="AX234" s="73"/>
      <c r="AY234" s="73"/>
      <c r="AZ234" s="73"/>
      <c r="BA234" s="73"/>
      <c r="BB234" s="73"/>
      <c r="BC234" s="73"/>
      <c r="BD234" s="73"/>
      <c r="BE234" s="73"/>
      <c r="BF234" s="73"/>
      <c r="BG234" s="73"/>
      <c r="BH234" s="73"/>
    </row>
    <row r="235" spans="1:60" x14ac:dyDescent="0.25">
      <c r="A235" s="73"/>
      <c r="J235" s="73"/>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c r="AZ235" s="73"/>
      <c r="BA235" s="73"/>
      <c r="BB235" s="73"/>
      <c r="BC235" s="73"/>
      <c r="BD235" s="73"/>
      <c r="BE235" s="73"/>
      <c r="BF235" s="73"/>
      <c r="BG235" s="73"/>
      <c r="BH235" s="73"/>
    </row>
    <row r="236" spans="1:60" x14ac:dyDescent="0.25">
      <c r="A236" s="73"/>
      <c r="J236" s="73"/>
      <c r="K236" s="73"/>
      <c r="L236" s="73"/>
      <c r="M236" s="73"/>
      <c r="N236" s="73"/>
      <c r="O236" s="73"/>
      <c r="P236" s="73"/>
      <c r="Q236" s="73"/>
      <c r="R236" s="73"/>
      <c r="S236" s="73"/>
      <c r="T236" s="73"/>
      <c r="U236" s="73"/>
      <c r="V236" s="73"/>
      <c r="W236" s="73"/>
      <c r="X236" s="73"/>
      <c r="Y236" s="73"/>
      <c r="Z236" s="73"/>
      <c r="AA236" s="73"/>
      <c r="AB236" s="73"/>
      <c r="AC236" s="73"/>
      <c r="AD236" s="73"/>
      <c r="AE236" s="73"/>
      <c r="AF236" s="73"/>
      <c r="AG236" s="73"/>
      <c r="AH236" s="73"/>
      <c r="AI236" s="73"/>
      <c r="AJ236" s="73"/>
      <c r="AK236" s="73"/>
      <c r="AL236" s="73"/>
      <c r="AM236" s="73"/>
      <c r="AN236" s="73"/>
      <c r="AO236" s="73"/>
      <c r="AP236" s="73"/>
      <c r="AQ236" s="73"/>
      <c r="AR236" s="73"/>
      <c r="AS236" s="73"/>
      <c r="AT236" s="73"/>
      <c r="AU236" s="73"/>
      <c r="AV236" s="73"/>
      <c r="AW236" s="73"/>
      <c r="AX236" s="73"/>
      <c r="AY236" s="73"/>
      <c r="AZ236" s="73"/>
      <c r="BA236" s="73"/>
      <c r="BB236" s="73"/>
      <c r="BC236" s="73"/>
      <c r="BD236" s="73"/>
      <c r="BE236" s="73"/>
      <c r="BF236" s="73"/>
      <c r="BG236" s="73"/>
      <c r="BH236" s="73"/>
    </row>
    <row r="237" spans="1:60" x14ac:dyDescent="0.25">
      <c r="A237" s="73"/>
      <c r="J237" s="73"/>
      <c r="K237" s="73"/>
      <c r="L237" s="73"/>
      <c r="M237" s="73"/>
      <c r="N237" s="73"/>
      <c r="O237" s="73"/>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c r="AZ237" s="73"/>
      <c r="BA237" s="73"/>
      <c r="BB237" s="73"/>
      <c r="BC237" s="73"/>
      <c r="BD237" s="73"/>
      <c r="BE237" s="73"/>
      <c r="BF237" s="73"/>
      <c r="BG237" s="73"/>
      <c r="BH237" s="73"/>
    </row>
    <row r="238" spans="1:60" x14ac:dyDescent="0.25">
      <c r="A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c r="AG238" s="73"/>
      <c r="AH238" s="73"/>
      <c r="AI238" s="73"/>
      <c r="AJ238" s="73"/>
      <c r="AK238" s="73"/>
      <c r="AL238" s="73"/>
      <c r="AM238" s="73"/>
      <c r="AN238" s="73"/>
      <c r="AO238" s="73"/>
      <c r="AP238" s="73"/>
      <c r="AQ238" s="73"/>
      <c r="AR238" s="73"/>
      <c r="AS238" s="73"/>
      <c r="AT238" s="73"/>
      <c r="AU238" s="73"/>
      <c r="AV238" s="73"/>
      <c r="AW238" s="73"/>
      <c r="AX238" s="73"/>
      <c r="AY238" s="73"/>
      <c r="AZ238" s="73"/>
      <c r="BA238" s="73"/>
      <c r="BB238" s="73"/>
      <c r="BC238" s="73"/>
      <c r="BD238" s="73"/>
      <c r="BE238" s="73"/>
      <c r="BF238" s="73"/>
      <c r="BG238" s="73"/>
      <c r="BH238" s="73"/>
    </row>
    <row r="239" spans="1:60" x14ac:dyDescent="0.25">
      <c r="A239" s="73"/>
      <c r="J239" s="73"/>
      <c r="K239" s="73"/>
      <c r="L239" s="73"/>
      <c r="M239" s="73"/>
      <c r="N239" s="73"/>
      <c r="O239" s="73"/>
      <c r="P239" s="73"/>
      <c r="Q239" s="73"/>
      <c r="R239" s="73"/>
      <c r="S239" s="73"/>
      <c r="T239" s="73"/>
      <c r="U239" s="73"/>
      <c r="V239" s="73"/>
      <c r="W239" s="73"/>
      <c r="X239" s="73"/>
      <c r="Y239" s="73"/>
      <c r="Z239" s="73"/>
      <c r="AA239" s="73"/>
      <c r="AB239" s="73"/>
      <c r="AC239" s="73"/>
      <c r="AD239" s="73"/>
      <c r="AE239" s="73"/>
      <c r="AF239" s="73"/>
      <c r="AG239" s="73"/>
      <c r="AH239" s="73"/>
      <c r="AI239" s="73"/>
      <c r="AJ239" s="73"/>
      <c r="AK239" s="73"/>
      <c r="AL239" s="73"/>
      <c r="AM239" s="73"/>
      <c r="AN239" s="73"/>
      <c r="AO239" s="73"/>
      <c r="AP239" s="73"/>
      <c r="AQ239" s="73"/>
      <c r="AR239" s="73"/>
      <c r="AS239" s="73"/>
      <c r="AT239" s="73"/>
      <c r="AU239" s="73"/>
      <c r="AV239" s="73"/>
      <c r="AW239" s="73"/>
      <c r="AX239" s="73"/>
      <c r="AY239" s="73"/>
      <c r="AZ239" s="73"/>
      <c r="BA239" s="73"/>
      <c r="BB239" s="73"/>
      <c r="BC239" s="73"/>
      <c r="BD239" s="73"/>
      <c r="BE239" s="73"/>
      <c r="BF239" s="73"/>
      <c r="BG239" s="73"/>
      <c r="BH239" s="73"/>
    </row>
    <row r="240" spans="1:60" x14ac:dyDescent="0.25">
      <c r="A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c r="AG240" s="73"/>
      <c r="AH240" s="73"/>
      <c r="AI240" s="73"/>
      <c r="AJ240" s="73"/>
      <c r="AK240" s="73"/>
      <c r="AL240" s="73"/>
      <c r="AM240" s="73"/>
      <c r="AN240" s="73"/>
      <c r="AO240" s="73"/>
      <c r="AP240" s="73"/>
      <c r="AQ240" s="73"/>
      <c r="AR240" s="73"/>
      <c r="AS240" s="73"/>
      <c r="AT240" s="73"/>
      <c r="AU240" s="73"/>
      <c r="AV240" s="73"/>
      <c r="AW240" s="73"/>
      <c r="AX240" s="73"/>
      <c r="AY240" s="73"/>
      <c r="AZ240" s="73"/>
      <c r="BA240" s="73"/>
      <c r="BB240" s="73"/>
      <c r="BC240" s="73"/>
      <c r="BD240" s="73"/>
      <c r="BE240" s="73"/>
      <c r="BF240" s="73"/>
      <c r="BG240" s="73"/>
      <c r="BH240" s="73"/>
    </row>
    <row r="241" spans="1:60" x14ac:dyDescent="0.25">
      <c r="A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c r="AG241" s="73"/>
      <c r="AH241" s="73"/>
      <c r="AI241" s="73"/>
      <c r="AJ241" s="73"/>
      <c r="AK241" s="73"/>
      <c r="AL241" s="73"/>
      <c r="AM241" s="73"/>
      <c r="AN241" s="73"/>
      <c r="AO241" s="73"/>
      <c r="AP241" s="73"/>
      <c r="AQ241" s="73"/>
      <c r="AR241" s="73"/>
      <c r="AS241" s="73"/>
      <c r="AT241" s="73"/>
      <c r="AU241" s="73"/>
      <c r="AV241" s="73"/>
      <c r="AW241" s="73"/>
      <c r="AX241" s="73"/>
      <c r="AY241" s="73"/>
      <c r="AZ241" s="73"/>
      <c r="BA241" s="73"/>
      <c r="BB241" s="73"/>
      <c r="BC241" s="73"/>
      <c r="BD241" s="73"/>
      <c r="BE241" s="73"/>
      <c r="BF241" s="73"/>
      <c r="BG241" s="73"/>
      <c r="BH241" s="73"/>
    </row>
    <row r="242" spans="1:60" x14ac:dyDescent="0.25">
      <c r="A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c r="AZ242" s="73"/>
      <c r="BA242" s="73"/>
      <c r="BB242" s="73"/>
      <c r="BC242" s="73"/>
      <c r="BD242" s="73"/>
      <c r="BE242" s="73"/>
      <c r="BF242" s="73"/>
      <c r="BG242" s="73"/>
      <c r="BH242" s="73"/>
    </row>
    <row r="243" spans="1:60" x14ac:dyDescent="0.25">
      <c r="A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c r="AN243" s="73"/>
      <c r="AO243" s="73"/>
      <c r="AP243" s="73"/>
      <c r="AQ243" s="73"/>
      <c r="AR243" s="73"/>
      <c r="AS243" s="73"/>
      <c r="AT243" s="73"/>
      <c r="AU243" s="73"/>
      <c r="AV243" s="73"/>
      <c r="AW243" s="73"/>
      <c r="AX243" s="73"/>
      <c r="AY243" s="73"/>
      <c r="AZ243" s="73"/>
      <c r="BA243" s="73"/>
      <c r="BB243" s="73"/>
      <c r="BC243" s="73"/>
      <c r="BD243" s="73"/>
      <c r="BE243" s="73"/>
      <c r="BF243" s="73"/>
      <c r="BG243" s="73"/>
      <c r="BH243" s="73"/>
    </row>
    <row r="244" spans="1:60" x14ac:dyDescent="0.25">
      <c r="A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c r="AN244" s="73"/>
      <c r="AO244" s="73"/>
      <c r="AP244" s="73"/>
      <c r="AQ244" s="73"/>
      <c r="AR244" s="73"/>
      <c r="AS244" s="73"/>
      <c r="AT244" s="73"/>
      <c r="AU244" s="73"/>
      <c r="AV244" s="73"/>
      <c r="AW244" s="73"/>
      <c r="AX244" s="73"/>
      <c r="AY244" s="73"/>
      <c r="AZ244" s="73"/>
      <c r="BA244" s="73"/>
      <c r="BB244" s="73"/>
      <c r="BC244" s="73"/>
      <c r="BD244" s="73"/>
      <c r="BE244" s="73"/>
      <c r="BF244" s="73"/>
      <c r="BG244" s="73"/>
      <c r="BH244" s="73"/>
    </row>
    <row r="245" spans="1:60" x14ac:dyDescent="0.25">
      <c r="A245" s="73"/>
    </row>
    <row r="246" spans="1:60" x14ac:dyDescent="0.25">
      <c r="A246" s="73"/>
    </row>
    <row r="247" spans="1:60" x14ac:dyDescent="0.25">
      <c r="A247" s="73"/>
    </row>
    <row r="248" spans="1:60" x14ac:dyDescent="0.25">
      <c r="A248" s="73"/>
    </row>
  </sheetData>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2"/>
  <dimension ref="B2:E19"/>
  <sheetViews>
    <sheetView topLeftCell="A4" workbookViewId="0">
      <selection activeCell="B13" sqref="B13:B19"/>
    </sheetView>
  </sheetViews>
  <sheetFormatPr baseColWidth="10" defaultColWidth="11.28515625" defaultRowHeight="15" x14ac:dyDescent="0.25"/>
  <sheetData>
    <row r="2" spans="2:5" x14ac:dyDescent="0.25">
      <c r="B2" t="s">
        <v>179</v>
      </c>
      <c r="E2" t="s">
        <v>180</v>
      </c>
    </row>
    <row r="3" spans="2:5" x14ac:dyDescent="0.25">
      <c r="B3" t="s">
        <v>102</v>
      </c>
      <c r="E3" t="s">
        <v>89</v>
      </c>
    </row>
    <row r="4" spans="2:5" x14ac:dyDescent="0.25">
      <c r="B4" t="s">
        <v>181</v>
      </c>
      <c r="E4" t="s">
        <v>100</v>
      </c>
    </row>
    <row r="5" spans="2:5" x14ac:dyDescent="0.25">
      <c r="B5" t="s">
        <v>96</v>
      </c>
    </row>
    <row r="8" spans="2:5" x14ac:dyDescent="0.25">
      <c r="B8" t="s">
        <v>182</v>
      </c>
    </row>
    <row r="9" spans="2:5" x14ac:dyDescent="0.25">
      <c r="B9" t="s">
        <v>183</v>
      </c>
    </row>
    <row r="10" spans="2:5" x14ac:dyDescent="0.25">
      <c r="B10" t="s">
        <v>184</v>
      </c>
    </row>
    <row r="13" spans="2:5" x14ac:dyDescent="0.25">
      <c r="B13" t="s">
        <v>185</v>
      </c>
    </row>
    <row r="14" spans="2:5" x14ac:dyDescent="0.25">
      <c r="B14" t="s">
        <v>90</v>
      </c>
    </row>
    <row r="15" spans="2:5" x14ac:dyDescent="0.25">
      <c r="B15" t="s">
        <v>186</v>
      </c>
    </row>
    <row r="16" spans="2:5" x14ac:dyDescent="0.25">
      <c r="B16" t="s">
        <v>187</v>
      </c>
    </row>
    <row r="17" spans="2:2" x14ac:dyDescent="0.25">
      <c r="B17" t="s">
        <v>188</v>
      </c>
    </row>
    <row r="18" spans="2:2" x14ac:dyDescent="0.25">
      <c r="B18" t="s">
        <v>189</v>
      </c>
    </row>
    <row r="19" spans="2:2" x14ac:dyDescent="0.25">
      <c r="B19" t="s">
        <v>101</v>
      </c>
    </row>
  </sheetData>
  <sortState ref="B2:B5">
    <sortCondition ref="B2:B5"/>
  </sortState>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3"/>
  <dimension ref="A3:A21"/>
  <sheetViews>
    <sheetView workbookViewId="0">
      <selection activeCell="A19" sqref="A19"/>
    </sheetView>
  </sheetViews>
  <sheetFormatPr baseColWidth="10" defaultColWidth="11.28515625" defaultRowHeight="12.75" x14ac:dyDescent="0.2"/>
  <cols>
    <col min="1" max="1" width="32.85546875" style="9" customWidth="1"/>
    <col min="2" max="16384" width="11.28515625" style="9"/>
  </cols>
  <sheetData>
    <row r="3" spans="1:1" x14ac:dyDescent="0.2">
      <c r="A3" s="10" t="s">
        <v>91</v>
      </c>
    </row>
    <row r="4" spans="1:1" x14ac:dyDescent="0.2">
      <c r="A4" s="10" t="s">
        <v>97</v>
      </c>
    </row>
    <row r="5" spans="1:1" x14ac:dyDescent="0.2">
      <c r="A5" s="10" t="s">
        <v>98</v>
      </c>
    </row>
    <row r="6" spans="1:1" x14ac:dyDescent="0.2">
      <c r="A6" s="10" t="s">
        <v>103</v>
      </c>
    </row>
    <row r="7" spans="1:1" x14ac:dyDescent="0.2">
      <c r="A7" s="10" t="s">
        <v>92</v>
      </c>
    </row>
    <row r="8" spans="1:1" x14ac:dyDescent="0.2">
      <c r="A8" s="10" t="s">
        <v>93</v>
      </c>
    </row>
    <row r="9" spans="1:1" x14ac:dyDescent="0.2">
      <c r="A9" s="10" t="s">
        <v>104</v>
      </c>
    </row>
    <row r="10" spans="1:1" x14ac:dyDescent="0.2">
      <c r="A10" s="10" t="s">
        <v>94</v>
      </c>
    </row>
    <row r="11" spans="1:1" x14ac:dyDescent="0.2">
      <c r="A11" s="10" t="s">
        <v>99</v>
      </c>
    </row>
    <row r="12" spans="1:1" x14ac:dyDescent="0.2">
      <c r="A12" s="10" t="s">
        <v>190</v>
      </c>
    </row>
    <row r="13" spans="1:1" x14ac:dyDescent="0.2">
      <c r="A13" s="10" t="s">
        <v>191</v>
      </c>
    </row>
    <row r="14" spans="1:1" x14ac:dyDescent="0.2">
      <c r="A14" s="10" t="s">
        <v>192</v>
      </c>
    </row>
    <row r="16" spans="1:1" x14ac:dyDescent="0.2">
      <c r="A16" s="10" t="s">
        <v>193</v>
      </c>
    </row>
    <row r="17" spans="1:1" x14ac:dyDescent="0.2">
      <c r="A17" s="10" t="s">
        <v>179</v>
      </c>
    </row>
    <row r="18" spans="1:1" x14ac:dyDescent="0.2">
      <c r="A18" s="10" t="s">
        <v>102</v>
      </c>
    </row>
    <row r="20" spans="1:1" x14ac:dyDescent="0.2">
      <c r="A20" s="10" t="s">
        <v>183</v>
      </c>
    </row>
    <row r="21" spans="1:1" x14ac:dyDescent="0.2">
      <c r="A21" s="10" t="s">
        <v>184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db6a0ac-46cd-4246-bd03-61868ee0162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0CADA7A02BB74089FCC97381FD1458" ma:contentTypeVersion="12" ma:contentTypeDescription="Create a new document." ma:contentTypeScope="" ma:versionID="ceb9c6842d59952d1d9a815371233d35">
  <xsd:schema xmlns:xsd="http://www.w3.org/2001/XMLSchema" xmlns:xs="http://www.w3.org/2001/XMLSchema" xmlns:p="http://schemas.microsoft.com/office/2006/metadata/properties" xmlns:ns3="edb6a0ac-46cd-4246-bd03-61868ee01627" targetNamespace="http://schemas.microsoft.com/office/2006/metadata/properties" ma:root="true" ma:fieldsID="0b0c1867695c74b13c406b8beaf8498b" ns3:_="">
    <xsd:import namespace="edb6a0ac-46cd-4246-bd03-61868ee0162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6a0ac-46cd-4246-bd03-61868ee0162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CF8577-941C-44F2-A247-A79B37601050}">
  <ds:schemaRefs>
    <ds:schemaRef ds:uri="http://schemas.microsoft.com/sharepoint/v3/contenttype/forms"/>
  </ds:schemaRefs>
</ds:datastoreItem>
</file>

<file path=customXml/itemProps2.xml><?xml version="1.0" encoding="utf-8"?>
<ds:datastoreItem xmlns:ds="http://schemas.openxmlformats.org/officeDocument/2006/customXml" ds:itemID="{7E466431-8290-47CB-9B8C-002EB9CC8F09}">
  <ds:schemaRef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db6a0ac-46cd-4246-bd03-61868ee01627"/>
    <ds:schemaRef ds:uri="http://purl.org/dc/dcmitype/"/>
    <ds:schemaRef ds:uri="http://purl.org/dc/terms/"/>
  </ds:schemaRefs>
</ds:datastoreItem>
</file>

<file path=customXml/itemProps3.xml><?xml version="1.0" encoding="utf-8"?>
<ds:datastoreItem xmlns:ds="http://schemas.openxmlformats.org/officeDocument/2006/customXml" ds:itemID="{A17C5163-DF73-4892-BDB8-27EFF8F141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6a0ac-46cd-4246-bd03-61868ee016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Intructivo</vt:lpstr>
      <vt:lpstr>Tabla probabilidad</vt:lpstr>
      <vt:lpstr>Tabla Impacto</vt:lpstr>
      <vt:lpstr>Tabla Valoración controles</vt:lpstr>
      <vt:lpstr>Direccionamiento Estrategico</vt:lpstr>
      <vt:lpstr>Evaluación y mejoramiento</vt:lpstr>
      <vt:lpstr>Comunicaciones </vt:lpstr>
      <vt:lpstr>Asistencia tecnica</vt:lpstr>
      <vt:lpstr>Centro Cultural</vt:lpstr>
      <vt:lpstr>Unidades Productivas</vt:lpstr>
      <vt:lpstr>Producción Radial y Audiovisual</vt:lpstr>
      <vt:lpstr>Gestion Documental</vt:lpstr>
      <vt:lpstr>Servicio al Ciudadano</vt:lpstr>
      <vt:lpstr>Informatica y Tecnologia</vt:lpstr>
      <vt:lpstr>Gestion Contractual</vt:lpstr>
      <vt:lpstr>Gestion Juridica</vt:lpstr>
      <vt:lpstr>Gestion Humana</vt:lpstr>
      <vt:lpstr>Financiero</vt:lpstr>
      <vt:lpstr>Administrativo </vt:lpstr>
      <vt:lpstr>Para revisar</vt:lpstr>
      <vt:lpstr>Matriz Calor Inherente</vt:lpstr>
      <vt:lpstr>Matriz Calor Residual</vt:lpstr>
      <vt:lpstr>Opciones Tratamiento</vt:lpstr>
      <vt:lpstr>Hoja1</vt:lpstr>
    </vt:vector>
  </TitlesOfParts>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Carlos Eduardo Córdoba Martínez</cp:lastModifiedBy>
  <cp:revision/>
  <dcterms:created xsi:type="dcterms:W3CDTF">2020-03-24T23:12:47Z</dcterms:created>
  <dcterms:modified xsi:type="dcterms:W3CDTF">2026-09-02T15:30:09Z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0x010100900CADA7A02BB74089FCC97381FD1458</vt:lpwstr>
  </property>
</Properties>
</file>