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C:\Users\mherrera\Downloads\"/>
    </mc:Choice>
  </mc:AlternateContent>
  <xr:revisionPtr revIDLastSave="0" documentId="13_ncr:1_{85ED9A83-BA89-4A3E-8C8F-F00D407FCC8E}" xr6:coauthVersionLast="36" xr6:coauthVersionMax="47" xr10:uidLastSave="{00000000-0000-0000-0000-000000000000}"/>
  <bookViews>
    <workbookView xWindow="0" yWindow="0" windowWidth="28800" windowHeight="11805" firstSheet="1" activeTab="2" xr2:uid="{00000000-000D-0000-FFFF-FFFF00000000}"/>
  </bookViews>
  <sheets>
    <sheet name="Instructivo" sheetId="2" r:id="rId1"/>
    <sheet name="Estado SCI" sheetId="1" r:id="rId2"/>
    <sheet name="Análisis Resultados" sheetId="3" r:id="rId3"/>
    <sheet name="Conclusión" sheetId="5" r:id="rId4"/>
    <sheet name="Hoja1" sheetId="6" state="hidden" r:id="rId5"/>
  </sheets>
  <externalReferences>
    <externalReference r:id="rId6"/>
  </externalReferences>
  <definedNames>
    <definedName name="_xlnm._FilterDatabase" localSheetId="4" hidden="1">Hoja1!$A$1:$K$45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J59" i="1" l="1"/>
  <c r="J58" i="1"/>
  <c r="J57" i="1"/>
  <c r="J56" i="1"/>
  <c r="J55" i="1"/>
  <c r="J54" i="1"/>
  <c r="J53" i="1"/>
  <c r="J52" i="1"/>
  <c r="J51" i="1"/>
  <c r="J5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A59" i="1" l="1"/>
  <c r="A58" i="1"/>
  <c r="A57" i="1"/>
  <c r="A56" i="1"/>
  <c r="A55" i="1"/>
  <c r="A54" i="1"/>
  <c r="A53" i="1"/>
  <c r="A52" i="1"/>
  <c r="A51" i="1"/>
  <c r="A50" i="1"/>
  <c r="A49" i="1"/>
  <c r="A48" i="1"/>
  <c r="A47" i="1"/>
  <c r="A46" i="1"/>
  <c r="A45" i="1"/>
  <c r="A44" i="1"/>
  <c r="A43" i="1"/>
  <c r="A42" i="1"/>
  <c r="A41" i="1"/>
  <c r="A40" i="1"/>
  <c r="A39" i="1"/>
  <c r="J37" i="1"/>
  <c r="L37" i="1" s="1"/>
  <c r="J36" i="1"/>
  <c r="L36" i="1" s="1"/>
  <c r="J35" i="1"/>
  <c r="L35" i="1" s="1"/>
  <c r="J34" i="1"/>
  <c r="L34" i="1" s="1"/>
  <c r="J33" i="1"/>
  <c r="L33" i="1" s="1"/>
  <c r="J32" i="1"/>
  <c r="L32" i="1" s="1"/>
  <c r="A38" i="1"/>
  <c r="A37" i="1"/>
  <c r="A36" i="1"/>
  <c r="A35" i="1"/>
  <c r="A34" i="1"/>
  <c r="A33" i="1"/>
  <c r="A32" i="1"/>
  <c r="L59" i="1"/>
  <c r="L58" i="1"/>
  <c r="L57" i="1"/>
  <c r="L56" i="1"/>
  <c r="L55" i="1"/>
  <c r="L54" i="1"/>
  <c r="L53" i="1"/>
  <c r="L52" i="1"/>
  <c r="L51" i="1"/>
  <c r="L50" i="1"/>
  <c r="J49" i="1"/>
  <c r="L49" i="1" s="1"/>
  <c r="J48" i="1"/>
  <c r="L48" i="1" s="1"/>
  <c r="J47" i="1"/>
  <c r="L47" i="1" s="1"/>
  <c r="J46" i="1"/>
  <c r="L46" i="1" s="1"/>
  <c r="J45" i="1"/>
  <c r="L45" i="1" s="1"/>
  <c r="J44" i="1"/>
  <c r="L44" i="1" s="1"/>
  <c r="J43" i="1"/>
  <c r="L43" i="1" s="1"/>
  <c r="J42" i="1"/>
  <c r="L42" i="1" s="1"/>
  <c r="J41" i="1"/>
  <c r="L41" i="1" s="1"/>
  <c r="J40" i="1"/>
  <c r="L40" i="1" s="1"/>
  <c r="J39" i="1"/>
  <c r="L39" i="1" s="1"/>
  <c r="J38" i="1"/>
  <c r="L38" i="1" s="1"/>
  <c r="J31" i="1"/>
  <c r="L31" i="1" s="1"/>
  <c r="J30" i="1"/>
  <c r="L30" i="1" s="1"/>
  <c r="J29" i="1"/>
  <c r="L29" i="1" s="1"/>
  <c r="J28" i="1"/>
  <c r="L28" i="1" s="1"/>
  <c r="J27" i="1"/>
  <c r="L27" i="1" s="1"/>
  <c r="J26" i="1"/>
  <c r="L26" i="1" s="1"/>
  <c r="J25" i="1"/>
  <c r="L25" i="1" s="1"/>
  <c r="J24" i="1"/>
  <c r="L24" i="1" s="1"/>
  <c r="J23" i="1"/>
  <c r="L23" i="1" s="1"/>
  <c r="J22" i="1"/>
  <c r="L22" i="1" s="1"/>
  <c r="J21" i="1"/>
  <c r="L21" i="1" s="1"/>
  <c r="J20" i="1"/>
  <c r="L20" i="1" s="1"/>
  <c r="J19" i="1"/>
  <c r="L19" i="1" s="1"/>
  <c r="J18" i="1"/>
  <c r="L18" i="1" s="1"/>
  <c r="J17" i="1"/>
  <c r="L17" i="1" s="1"/>
  <c r="J16" i="1"/>
  <c r="L16" i="1" s="1"/>
  <c r="A31" i="1" l="1"/>
  <c r="A30" i="1"/>
  <c r="A29" i="1"/>
  <c r="A28" i="1"/>
  <c r="A27" i="1"/>
  <c r="A26" i="1"/>
  <c r="A25" i="1"/>
  <c r="A24" i="1"/>
  <c r="A23" i="1"/>
  <c r="A22" i="1"/>
  <c r="A21" i="1"/>
  <c r="A20" i="1"/>
  <c r="A19" i="1"/>
  <c r="A18" i="1"/>
  <c r="A17" i="1"/>
  <c r="A16" i="1"/>
  <c r="I3" i="6" l="1"/>
  <c r="J3" i="6" s="1"/>
  <c r="I11" i="6"/>
  <c r="J11" i="6" s="1"/>
  <c r="I19" i="6"/>
  <c r="J19" i="6" s="1"/>
  <c r="I25" i="6"/>
  <c r="J25" i="6" s="1"/>
  <c r="I33" i="6"/>
  <c r="J33" i="6" s="1"/>
  <c r="I41" i="6"/>
  <c r="J41" i="6" s="1"/>
  <c r="B29" i="6"/>
  <c r="I4" i="6"/>
  <c r="J4" i="6" s="1"/>
  <c r="I12" i="6"/>
  <c r="J12" i="6" s="1"/>
  <c r="I20" i="6"/>
  <c r="J20" i="6" s="1"/>
  <c r="I26" i="6"/>
  <c r="J26" i="6" s="1"/>
  <c r="I34" i="6"/>
  <c r="J34" i="6" s="1"/>
  <c r="I42" i="6"/>
  <c r="J42" i="6" s="1"/>
  <c r="B36" i="6"/>
  <c r="I5" i="6"/>
  <c r="J5" i="6" s="1"/>
  <c r="I13" i="6"/>
  <c r="J13" i="6" s="1"/>
  <c r="I27" i="6"/>
  <c r="J27" i="6" s="1"/>
  <c r="I35" i="6"/>
  <c r="J35" i="6" s="1"/>
  <c r="I43" i="6"/>
  <c r="J43" i="6" s="1"/>
  <c r="B2" i="6"/>
  <c r="I6" i="6"/>
  <c r="J6" i="6" s="1"/>
  <c r="I14" i="6"/>
  <c r="J14" i="6" s="1"/>
  <c r="I21" i="6"/>
  <c r="J21" i="6" s="1"/>
  <c r="I28" i="6"/>
  <c r="J28" i="6" s="1"/>
  <c r="I36" i="6"/>
  <c r="J36" i="6" s="1"/>
  <c r="I44" i="6"/>
  <c r="J44" i="6" s="1"/>
  <c r="I7" i="6"/>
  <c r="J7" i="6" s="1"/>
  <c r="I15" i="6"/>
  <c r="J15" i="6" s="1"/>
  <c r="I22" i="6"/>
  <c r="J22" i="6" s="1"/>
  <c r="I29" i="6"/>
  <c r="J29" i="6" s="1"/>
  <c r="I37" i="6"/>
  <c r="J37" i="6" s="1"/>
  <c r="I45" i="6"/>
  <c r="J45" i="6" s="1"/>
  <c r="I8" i="6"/>
  <c r="J8" i="6" s="1"/>
  <c r="I16" i="6"/>
  <c r="J16" i="6" s="1"/>
  <c r="I23" i="6"/>
  <c r="J23" i="6" s="1"/>
  <c r="I30" i="6"/>
  <c r="J30" i="6" s="1"/>
  <c r="I38" i="6"/>
  <c r="J38" i="6" s="1"/>
  <c r="I2" i="6"/>
  <c r="J2" i="6" s="1"/>
  <c r="I9" i="6"/>
  <c r="J9" i="6" s="1"/>
  <c r="I17" i="6"/>
  <c r="J17" i="6" s="1"/>
  <c r="I31" i="6"/>
  <c r="J31" i="6" s="1"/>
  <c r="I39" i="6"/>
  <c r="J39" i="6" s="1"/>
  <c r="B14" i="6"/>
  <c r="I10" i="6"/>
  <c r="J10" i="6" s="1"/>
  <c r="I18" i="6"/>
  <c r="J18" i="6" s="1"/>
  <c r="I24" i="6"/>
  <c r="J24" i="6" s="1"/>
  <c r="I32" i="6"/>
  <c r="J32" i="6" s="1"/>
  <c r="I40" i="6"/>
  <c r="J40" i="6" s="1"/>
  <c r="B24" i="6"/>
  <c r="G41" i="6"/>
  <c r="G40" i="6"/>
  <c r="G32" i="6"/>
  <c r="G24" i="6"/>
  <c r="G18" i="6"/>
  <c r="G10" i="6"/>
  <c r="G2" i="6"/>
  <c r="F10" i="6"/>
  <c r="F18" i="6"/>
  <c r="F24" i="6"/>
  <c r="F32" i="6"/>
  <c r="F40" i="6"/>
  <c r="G29" i="6"/>
  <c r="G7" i="6"/>
  <c r="F27" i="6"/>
  <c r="G28" i="6"/>
  <c r="G14" i="6"/>
  <c r="F14" i="6"/>
  <c r="F36" i="6"/>
  <c r="G27" i="6"/>
  <c r="G5" i="6"/>
  <c r="F22" i="6"/>
  <c r="F45" i="6"/>
  <c r="G34" i="6"/>
  <c r="G20" i="6"/>
  <c r="F8" i="6"/>
  <c r="F30" i="6"/>
  <c r="G33" i="6"/>
  <c r="G11" i="6"/>
  <c r="F17" i="6"/>
  <c r="G39" i="6"/>
  <c r="G31" i="6"/>
  <c r="G17" i="6"/>
  <c r="G9" i="6"/>
  <c r="F3" i="6"/>
  <c r="F11" i="6"/>
  <c r="F19" i="6"/>
  <c r="F25" i="6"/>
  <c r="F33" i="6"/>
  <c r="F41" i="6"/>
  <c r="G37" i="6"/>
  <c r="G15" i="6"/>
  <c r="F5" i="6"/>
  <c r="F43" i="6"/>
  <c r="G44" i="6"/>
  <c r="G21" i="6"/>
  <c r="F6" i="6"/>
  <c r="F28" i="6"/>
  <c r="G35" i="6"/>
  <c r="G13" i="6"/>
  <c r="F7" i="6"/>
  <c r="F29" i="6"/>
  <c r="G26" i="6"/>
  <c r="G4" i="6"/>
  <c r="F23" i="6"/>
  <c r="F2" i="6"/>
  <c r="G19" i="6"/>
  <c r="F9" i="6"/>
  <c r="F39" i="6"/>
  <c r="G38" i="6"/>
  <c r="G30" i="6"/>
  <c r="G23" i="6"/>
  <c r="G16" i="6"/>
  <c r="G8" i="6"/>
  <c r="F4" i="6"/>
  <c r="F12" i="6"/>
  <c r="F20" i="6"/>
  <c r="F26" i="6"/>
  <c r="F34" i="6"/>
  <c r="F42" i="6"/>
  <c r="G45" i="6"/>
  <c r="G22" i="6"/>
  <c r="F13" i="6"/>
  <c r="F35" i="6"/>
  <c r="G36" i="6"/>
  <c r="G6" i="6"/>
  <c r="F21" i="6"/>
  <c r="F44" i="6"/>
  <c r="G43" i="6"/>
  <c r="F15" i="6"/>
  <c r="F37" i="6"/>
  <c r="G42" i="6"/>
  <c r="G12" i="6"/>
  <c r="F16" i="6"/>
  <c r="F38" i="6"/>
  <c r="G25" i="6"/>
  <c r="G3" i="6"/>
  <c r="F31" i="6"/>
  <c r="K24" i="6" l="1"/>
  <c r="G30" i="5" s="1"/>
  <c r="K29" i="6"/>
  <c r="K36" i="6"/>
  <c r="K14" i="6"/>
  <c r="K9" i="6"/>
  <c r="K6" i="6"/>
  <c r="K35" i="6"/>
  <c r="K19" i="6"/>
  <c r="K23" i="6"/>
  <c r="K40" i="6"/>
  <c r="K10" i="6"/>
  <c r="K7" i="6"/>
  <c r="K44" i="6"/>
  <c r="K20" i="6"/>
  <c r="K38" i="6"/>
  <c r="K3" i="6"/>
  <c r="K8" i="6"/>
  <c r="K30" i="6"/>
  <c r="K37" i="6"/>
  <c r="K25" i="6"/>
  <c r="K45" i="6"/>
  <c r="K11" i="6"/>
  <c r="K4" i="6"/>
  <c r="K12" i="6"/>
  <c r="K32" i="6"/>
  <c r="K41" i="6"/>
  <c r="K17" i="6"/>
  <c r="K15" i="6"/>
  <c r="K28" i="6"/>
  <c r="K39" i="6"/>
  <c r="K27" i="6"/>
  <c r="K5" i="6"/>
  <c r="K33" i="6"/>
  <c r="K42" i="6"/>
  <c r="K22" i="6"/>
  <c r="K2" i="6"/>
  <c r="K31" i="6"/>
  <c r="K13" i="6"/>
  <c r="K34" i="6"/>
  <c r="K43" i="6"/>
  <c r="K18" i="6"/>
  <c r="K16" i="6"/>
  <c r="K26" i="6"/>
  <c r="K21" i="6"/>
  <c r="H37" i="6"/>
  <c r="H17" i="6"/>
  <c r="H30" i="6"/>
  <c r="H2" i="6"/>
  <c r="H10" i="6"/>
  <c r="H44" i="6"/>
  <c r="H6" i="6"/>
  <c r="H7" i="6"/>
  <c r="H42" i="6"/>
  <c r="H36" i="6"/>
  <c r="H11" i="6"/>
  <c r="H5" i="6"/>
  <c r="H29" i="6"/>
  <c r="H18" i="6"/>
  <c r="H12" i="6"/>
  <c r="H38" i="6"/>
  <c r="H13" i="6"/>
  <c r="H33" i="6"/>
  <c r="H27" i="6"/>
  <c r="H24" i="6"/>
  <c r="H3" i="6"/>
  <c r="H8" i="6"/>
  <c r="H26" i="6"/>
  <c r="H39" i="6"/>
  <c r="H19" i="6"/>
  <c r="H35" i="6"/>
  <c r="H15" i="6"/>
  <c r="H9" i="6"/>
  <c r="H32" i="6"/>
  <c r="H40" i="6"/>
  <c r="H22" i="6"/>
  <c r="H25" i="6"/>
  <c r="H45" i="6"/>
  <c r="H20" i="6"/>
  <c r="H14" i="6"/>
  <c r="H43" i="6"/>
  <c r="H16" i="6"/>
  <c r="H23" i="6"/>
  <c r="H4" i="6"/>
  <c r="H21" i="6"/>
  <c r="H31" i="6"/>
  <c r="H34" i="6"/>
  <c r="H28" i="6"/>
  <c r="H41" i="6"/>
  <c r="E30" i="5" l="1"/>
  <c r="E26" i="5"/>
  <c r="G26" i="5"/>
  <c r="E28" i="5"/>
  <c r="G28" i="5"/>
  <c r="G34" i="5"/>
  <c r="E34" i="5"/>
  <c r="E32" i="5"/>
  <c r="G32" i="5"/>
  <c r="F56" i="3"/>
  <c r="F48" i="3"/>
  <c r="F40" i="3"/>
  <c r="F32" i="3"/>
  <c r="F24" i="3"/>
  <c r="F55" i="3"/>
  <c r="F47" i="3"/>
  <c r="F39" i="3"/>
  <c r="F31" i="3"/>
  <c r="F23" i="3"/>
  <c r="F34" i="3"/>
  <c r="F62" i="3"/>
  <c r="F54" i="3"/>
  <c r="F46" i="3"/>
  <c r="F38" i="3"/>
  <c r="F30" i="3"/>
  <c r="F22" i="3"/>
  <c r="F53" i="3"/>
  <c r="F45" i="3"/>
  <c r="F37" i="3"/>
  <c r="F29" i="3"/>
  <c r="F57" i="3"/>
  <c r="F33" i="3"/>
  <c r="F61" i="3"/>
  <c r="F21" i="3"/>
  <c r="F58" i="3"/>
  <c r="F50" i="3"/>
  <c r="F26" i="3"/>
  <c r="F60" i="3"/>
  <c r="F52" i="3"/>
  <c r="F44" i="3"/>
  <c r="F36" i="3"/>
  <c r="F28" i="3"/>
  <c r="F20" i="3"/>
  <c r="F25" i="3"/>
  <c r="F59" i="3"/>
  <c r="F51" i="3"/>
  <c r="F43" i="3"/>
  <c r="F35" i="3"/>
  <c r="F27" i="3"/>
  <c r="F19" i="3"/>
  <c r="F42" i="3"/>
  <c r="F49" i="3"/>
  <c r="F41" i="3"/>
  <c r="E56" i="3"/>
  <c r="E40" i="3"/>
  <c r="E55" i="3"/>
  <c r="E47" i="3"/>
  <c r="E39" i="3"/>
  <c r="E31" i="3"/>
  <c r="E23" i="3"/>
  <c r="E51" i="3"/>
  <c r="E27" i="3"/>
  <c r="E58" i="3"/>
  <c r="E26" i="3"/>
  <c r="E57" i="3"/>
  <c r="E25" i="3"/>
  <c r="E24" i="3"/>
  <c r="E62" i="3"/>
  <c r="E54" i="3"/>
  <c r="E46" i="3"/>
  <c r="E38" i="3"/>
  <c r="E30" i="3"/>
  <c r="E22" i="3"/>
  <c r="E60" i="3"/>
  <c r="E20" i="3"/>
  <c r="E43" i="3"/>
  <c r="E50" i="3"/>
  <c r="E34" i="3"/>
  <c r="E49" i="3"/>
  <c r="E48" i="3"/>
  <c r="E61" i="3"/>
  <c r="E53" i="3"/>
  <c r="E45" i="3"/>
  <c r="E37" i="3"/>
  <c r="E29" i="3"/>
  <c r="E21" i="3"/>
  <c r="E52" i="3"/>
  <c r="E44" i="3"/>
  <c r="E36" i="3"/>
  <c r="E28" i="3"/>
  <c r="E59" i="3"/>
  <c r="E35" i="3"/>
  <c r="E19" i="3"/>
  <c r="E42" i="3"/>
  <c r="E41" i="3"/>
  <c r="E33" i="3"/>
  <c r="E32" i="3"/>
  <c r="I61" i="3" l="1"/>
  <c r="G61" i="3"/>
  <c r="I59" i="3"/>
  <c r="G59" i="3"/>
  <c r="I45" i="3"/>
  <c r="G45" i="3"/>
  <c r="G20" i="3"/>
  <c r="I20" i="3"/>
  <c r="G24" i="3"/>
  <c r="I24" i="3"/>
  <c r="I31" i="3"/>
  <c r="G31" i="3"/>
  <c r="I32" i="3"/>
  <c r="G32" i="3"/>
  <c r="G28" i="3"/>
  <c r="I28" i="3"/>
  <c r="I53" i="3"/>
  <c r="G53" i="3"/>
  <c r="I60" i="3"/>
  <c r="G60" i="3"/>
  <c r="G25" i="3"/>
  <c r="I25" i="3"/>
  <c r="I39" i="3"/>
  <c r="G39" i="3"/>
  <c r="G22" i="3"/>
  <c r="I22" i="3"/>
  <c r="I57" i="3"/>
  <c r="G57" i="3"/>
  <c r="I47" i="3"/>
  <c r="G47" i="3"/>
  <c r="I33" i="3"/>
  <c r="G33" i="3"/>
  <c r="I44" i="3"/>
  <c r="G44" i="3"/>
  <c r="I48" i="3"/>
  <c r="G48" i="3"/>
  <c r="I30" i="3"/>
  <c r="G30" i="3"/>
  <c r="G26" i="3"/>
  <c r="I26" i="3"/>
  <c r="I55" i="3"/>
  <c r="G55" i="3"/>
  <c r="I41" i="3"/>
  <c r="G41" i="3"/>
  <c r="I52" i="3"/>
  <c r="G52" i="3"/>
  <c r="I49" i="3"/>
  <c r="G49" i="3"/>
  <c r="I38" i="3"/>
  <c r="G38" i="3"/>
  <c r="I58" i="3"/>
  <c r="G58" i="3"/>
  <c r="I42" i="3"/>
  <c r="G42" i="3"/>
  <c r="G21" i="3"/>
  <c r="I21" i="3"/>
  <c r="I34" i="3"/>
  <c r="G34" i="3"/>
  <c r="I46" i="3"/>
  <c r="G46" i="3"/>
  <c r="I27" i="3"/>
  <c r="G27" i="3"/>
  <c r="I40" i="3"/>
  <c r="G40" i="3"/>
  <c r="I36" i="3"/>
  <c r="G36" i="3"/>
  <c r="I19" i="3"/>
  <c r="G19" i="3"/>
  <c r="G29" i="3"/>
  <c r="I29" i="3"/>
  <c r="I50" i="3"/>
  <c r="G50" i="3"/>
  <c r="I54" i="3"/>
  <c r="G54" i="3"/>
  <c r="I51" i="3"/>
  <c r="G51" i="3"/>
  <c r="I56" i="3"/>
  <c r="G56" i="3"/>
  <c r="I35" i="3"/>
  <c r="G35" i="3"/>
  <c r="I37" i="3"/>
  <c r="G37" i="3"/>
  <c r="I43" i="3"/>
  <c r="G43" i="3"/>
  <c r="I62" i="3"/>
  <c r="G62" i="3"/>
  <c r="G23" i="3"/>
  <c r="I23" i="3"/>
  <c r="J41" i="3" l="1"/>
  <c r="J53" i="3"/>
  <c r="J46" i="3"/>
  <c r="J31" i="3"/>
  <c r="J19" i="3"/>
  <c r="M8" i="5" l="1"/>
</calcChain>
</file>

<file path=xl/sharedStrings.xml><?xml version="1.0" encoding="utf-8"?>
<sst xmlns="http://schemas.openxmlformats.org/spreadsheetml/2006/main" count="514" uniqueCount="245">
  <si>
    <t>EVALUACIÓN INDEPENDIENTE SISTEMA DE CONTROL INTERNO
Entidades Pequeñas
(instrucciones para su diligenciamiento)</t>
  </si>
  <si>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Esta estructura requiere de un análisis articulado frente al desarrollo de las políticas de gestión y desempeño contenidas en el modelo y su efectividad en relación con la estructura de control, este útlimo, aspecto esecial para garantizar el buen manejo de los recursos, que las metas y objetivos se cumplan y se mejore la prestación del servicio a los usuarios, ejes fundamentales para la generación de valor público.
Teniendo en cuenta lo anterior y dada la necesidad de dar cumplimiento a la dispuesto en el articulo 156 del Decreto 2106 de 2019, el presente formatobusca que las entidades cuenten con una herramienta para evaluar sus Sistemas de Control Interno de manera integral y permitirle al Jefe de Control Interno o quien haga sus veces llevar a cabo el informe de evaluación independiente sobre el mismo para su publicación cada seis (6) meses, en el sitio web de la entidad. La estructura propuesta es diferencial para aquellas entidades de municipios de 6a categoría (Personerías y Concejos Municipales) que son entidades con 1 y hasta 5 servidores en sus plantas de personal. Estas entidades deben tener en cuenta que de acuerdo con el parágrafo del artículo ARTÍCULO 2.2.22.2.1. del Decreto 1499 de 2017, las políticas de gestión y desempeño contenidas en el Modelo Integrado de Planeación y Gestión MIPG, deben ser aplicadas acorde con las normas que las regulan, por lo que deben analizar dichas políticas e implementarlas en armonía con el MECI.</t>
  </si>
  <si>
    <t>Orientaciones Generales</t>
  </si>
  <si>
    <r>
      <t xml:space="preserve">El archivo contiene las siguientes hojas:
 -  1 </t>
    </r>
    <r>
      <rPr>
        <b/>
        <sz val="11"/>
        <rFont val="Arial Narrow"/>
        <family val="2"/>
      </rPr>
      <t xml:space="preserve">Pestaña que desarrolla la estructura para evaluar el estado del Sistema de Control Interno: </t>
    </r>
    <r>
      <rPr>
        <sz val="11"/>
        <rFont val="Arial Narrow"/>
        <family val="2"/>
      </rPr>
      <t xml:space="preserve">Se desagrega en </t>
    </r>
    <r>
      <rPr>
        <sz val="10"/>
        <rFont val="Arial Narrow"/>
        <family val="2"/>
      </rPr>
      <t>"Ambiente de Control", "Evaluación de riesgos", "Actividades de control", "Información y Comunicación", y " Actividades de Monitoreo", componentes actuales del Modelo Estándar de Control Interno MECI. La estructura es la siguiente para el diligenciamiento:</t>
    </r>
  </si>
  <si>
    <t>Columna</t>
  </si>
  <si>
    <t>Descripción</t>
  </si>
  <si>
    <t>Componente del MECI asociado</t>
  </si>
  <si>
    <t>Esta columna define los componentes del MECI.</t>
  </si>
  <si>
    <t>Lineamiento General por Componente</t>
  </si>
  <si>
    <t>En esta columna establece el lineamientos general para cada uno de los componentes del MECI</t>
  </si>
  <si>
    <t>Requerimiento Asociado al Componente</t>
  </si>
  <si>
    <t>Se muestran una serie de preguntas con 3 opciones de respuesta así:
1. SI
2.NO
3. EN PROCESO</t>
  </si>
  <si>
    <t>Evidencia de Seguimiento al Control</t>
  </si>
  <si>
    <t>Establezca actividades adelantadas de aplicación del documento o elemento antes identificado (esto cuando se responde SI o bien EN PROCESO)</t>
  </si>
  <si>
    <r>
      <t xml:space="preserve"> -</t>
    </r>
    <r>
      <rPr>
        <sz val="11"/>
        <rFont val="Arial Narrow"/>
        <family val="2"/>
      </rPr>
      <t xml:space="preserve"> </t>
    </r>
    <r>
      <rPr>
        <b/>
        <sz val="11"/>
        <rFont val="Arial Narrow"/>
        <family val="2"/>
      </rPr>
      <t>Análisis de Resultados:</t>
    </r>
    <r>
      <rPr>
        <sz val="10"/>
        <rFont val="Arial Narrow"/>
        <family val="2"/>
      </rPr>
      <t xml:space="preserve"> Esta hoja permite consolidar los resultados para cada componente evaluado.</t>
    </r>
  </si>
  <si>
    <t xml:space="preserve">Clasificación </t>
  </si>
  <si>
    <t>Observaciones del Control</t>
  </si>
  <si>
    <t>Mantenimiento del Control</t>
  </si>
  <si>
    <t>Existe requerimiento pero se requiere actividades  dirigidas a su mantenimiento dentro del marco de las lineas de defensa.</t>
  </si>
  <si>
    <t>Oportunidad de Mejora</t>
  </si>
  <si>
    <t>Se encuentra en proceso, pero requiere continuar con acciones dirigidas a contar con dicho aspecto de control</t>
  </si>
  <si>
    <t xml:space="preserve">Deficiencia del Control 
</t>
  </si>
  <si>
    <t>No se encuentra el aspecto  por lo tanto la entidad debera generar acciones dirigidas a que se cumpla con el requerimiento .</t>
  </si>
  <si>
    <r>
      <t xml:space="preserve"> -</t>
    </r>
    <r>
      <rPr>
        <sz val="11"/>
        <rFont val="Arial Narrow"/>
        <family val="2"/>
      </rPr>
      <t xml:space="preserve"> </t>
    </r>
    <r>
      <rPr>
        <b/>
        <sz val="11"/>
        <rFont val="Arial Narrow"/>
        <family val="2"/>
      </rPr>
      <t>Conclusiones:</t>
    </r>
    <r>
      <rPr>
        <sz val="10"/>
        <rFont val="Arial Narrow"/>
        <family val="2"/>
      </rPr>
      <t xml:space="preserve"> Esta hoja permite establecer el estado del Sistema de Control Interno evaluado, información a partir de la cual se definen las acciones de mejora correspondientes. Esta hoja será el informe para publicación en página web, o bien para ubicar en un lugar visible en la sede de la entidad (esto para aquellas que no cuentan con conectividad o página web en operación).</t>
    </r>
  </si>
  <si>
    <t>MEDICION ESTADO DEL SISTEMA DE CONTROL INTERNO EN LA ENTIDAD</t>
  </si>
  <si>
    <t xml:space="preserve">No. </t>
  </si>
  <si>
    <t>Literal</t>
  </si>
  <si>
    <t>Requerimiento asociado al componente</t>
  </si>
  <si>
    <t>Seguimiento al control (Si, No, En proceso)</t>
  </si>
  <si>
    <t>Evidencia de seguimiento al control
(Establezca actividades adelantadas de aplicación del documento o elemento antes identificado, esto cuando se responde SI o bien EN PROCESO</t>
  </si>
  <si>
    <t>Evaluación</t>
  </si>
  <si>
    <t>1</t>
  </si>
  <si>
    <t>AMBIENTE DE CONTROL</t>
  </si>
  <si>
    <t>El ambiente de control institucional está integrado por todas esas condiciones mínimas que debe garantizar cualquier entidad pública para el ejercicio del control interno. Para el caso de su entidad indique si se cuenta con:</t>
  </si>
  <si>
    <t>a</t>
  </si>
  <si>
    <t>Documento interno o adopción del MECI actualizado</t>
  </si>
  <si>
    <t>Si</t>
  </si>
  <si>
    <t xml:space="preserve">De acuerdo con el Decreto 1499 de 2017, el cual reglamenta el alcance del Sistema de Gestión y su articulación con el Sistema de Control Interno, el Instituto Nacional para Ciegos (INCI), mediante la Resolución No. 20191010002213 del 30 de agosto de 2019, actualizó su Sistema Integrado de Gestión (SIG).
En el artículo 3 de dicha resolución, se establece la conformación del Sistema Integrado de Gestión del INCI, incluyendo el Modelo Estándar de Control Interno (MECI) como una herramienta fundamental para el fortalecimiento del control institucional. </t>
  </si>
  <si>
    <t>b</t>
  </si>
  <si>
    <t>Un documento tal como un código de ética, integridad u otro que formalice los estándares de conducta, los principios institucionales o los valores del servicio público</t>
  </si>
  <si>
    <t xml:space="preserve">La entidad cuenta con  el Código de Integridad, vigencia 2024, que promueve los valores institucionales de   honestidad, respeto, compromiso, diligencia, justicia.
</t>
  </si>
  <si>
    <t>c</t>
  </si>
  <si>
    <t>Planes, programas y proyectos de acuerdo con las normas que rigen y atendiendo con su propósito fundamental institucional (misión)</t>
  </si>
  <si>
    <t>En proceso</t>
  </si>
  <si>
    <t>d</t>
  </si>
  <si>
    <t>Una estructura organizacional formalizada (organigrama)</t>
  </si>
  <si>
    <r>
      <rPr>
        <sz val="11"/>
        <color rgb="FF000000"/>
        <rFont val="Arial Narrow"/>
      </rPr>
      <t xml:space="preserve">La entidad cuenta con organigrama que se encontaba publicado  en al página de la entidad: 
</t>
    </r>
    <r>
      <rPr>
        <sz val="11"/>
        <color rgb="FF0070C0"/>
        <rFont val="Arial Narrow"/>
      </rPr>
      <t xml:space="preserve">https://www.inci.gov.co/organigrama. </t>
    </r>
    <r>
      <rPr>
        <sz val="11"/>
        <rFont val="Arial Narrow"/>
        <family val="2"/>
      </rPr>
      <t>A la fechade elaboración del informe, no se  confirma pues no se cuenta con página web institucional desde  1 de enero de  2026.</t>
    </r>
  </si>
  <si>
    <t>e</t>
  </si>
  <si>
    <t>Un manual de funciones que describa los empleos de la entidad</t>
  </si>
  <si>
    <r>
      <rPr>
        <sz val="11"/>
        <color rgb="FF000000"/>
        <rFont val="Arial Narrow"/>
      </rPr>
      <t xml:space="preserve"> La entidad cuenta con Manual de funciones que se  encuentraba  publicado en la página Web</t>
    </r>
    <r>
      <rPr>
        <sz val="11"/>
        <color rgb="FF0070C0"/>
        <rFont val="Arial Narrow"/>
      </rPr>
      <t xml:space="preserve"> https://www.inci.gov.co/transparencia/normatividad-de-la-entidad  </t>
    </r>
    <r>
      <rPr>
        <sz val="11"/>
        <color rgb="FF000000"/>
        <rFont val="Arial Narrow"/>
      </rPr>
      <t>numeral 2.2  literal b) Manuales</t>
    </r>
    <r>
      <rPr>
        <sz val="11"/>
        <color rgb="FF0070C0"/>
        <rFont val="Arial Narrow"/>
        <family val="2"/>
      </rPr>
      <t>.</t>
    </r>
    <r>
      <rPr>
        <sz val="11"/>
        <rFont val="Arial Narrow"/>
        <family val="2"/>
      </rPr>
      <t xml:space="preserve"> A la fechade elaboración del informe, no se  confirma pues no se cuenta con página web institucional desde  1 de enero de  2026</t>
    </r>
    <r>
      <rPr>
        <sz val="11"/>
        <color rgb="FF0070C0"/>
        <rFont val="Arial Narrow"/>
        <family val="2"/>
      </rPr>
      <t>.</t>
    </r>
  </si>
  <si>
    <t>f</t>
  </si>
  <si>
    <t>La documentación de sus procesos y procedimientos o bien una lista de actividades principales que permitan conocer el estado de su gestión</t>
  </si>
  <si>
    <r>
      <rPr>
        <sz val="11"/>
        <color rgb="FF000000"/>
        <rFont val="Arial Narrow"/>
      </rPr>
      <t>la entidad cuenta con la documentación del Sistema Integrado de Gestión - SIG alojado en Drive institucional.</t>
    </r>
    <r>
      <rPr>
        <sz val="11"/>
        <color rgb="FF0070C0"/>
        <rFont val="Arial Narrow"/>
      </rPr>
      <t xml:space="preserve">
</t>
    </r>
    <r>
      <rPr>
        <sz val="11"/>
        <color rgb="FF000000"/>
        <rFont val="Arial Narrow"/>
      </rPr>
      <t xml:space="preserve">
Los documentos estan en actualización por parte de  los líderes de procesos. </t>
    </r>
  </si>
  <si>
    <t>g</t>
  </si>
  <si>
    <t>Vinculación de los servidores públicos de acuerdo con el marco normativo que les rige (carrera administrativa, libre nombramiento y remoción, entre otros)</t>
  </si>
  <si>
    <t>La vinculación de servidores públicos se hace conforme a lo estipulado en el procedimiento SITUACIONES ADMINISTRATIVAS Código: SG-110- PD-036 del 10/04/2013. (actualmente esta en ajustes) Se relaciona planta de personal  vigente a segundo semestre 2025.</t>
  </si>
  <si>
    <t>h</t>
  </si>
  <si>
    <t>Procesos de inducción, capacitación y bienestar social para sus servidores públicos, de manera directa o en asociación con otras entidades municipales</t>
  </si>
  <si>
    <t>i</t>
  </si>
  <si>
    <t>Evaluación a los servidores públicos de acuerdo con el marco normativo que le rige</t>
  </si>
  <si>
    <r>
      <t>La evaluación  del desempeño laboral en la entidad  se rige según los lineamientos de la comisión Nacional del Servicio civil-CNSC  Acuerdo No 71 de 2023, que establece los parámetros para los sistemas propios de Evaluación del Desempeño Laboral (EDL) de los empleados de carrera y en período de prueba. El poceso de evaluación definitiva del periodo 2025,  se realizó conforme, sin embargo,  esta pendiente</t>
    </r>
    <r>
      <rPr>
        <sz val="11"/>
        <color rgb="FFFF0000"/>
        <rFont val="Arial Narrow"/>
        <family val="2"/>
      </rPr>
      <t xml:space="preserve"> </t>
    </r>
    <r>
      <rPr>
        <sz val="11"/>
        <rFont val="Arial Narrow"/>
        <family val="2"/>
      </rPr>
      <t xml:space="preserve"> culminar proceso con 2 Funcionarios. Se anexa soporte de  Consulta a la CNSC.
</t>
    </r>
  </si>
  <si>
    <t>j</t>
  </si>
  <si>
    <t>Procesos de desvinculación de servidores de acuerdo con lo previsto en la Constitución Política y las leyes</t>
  </si>
  <si>
    <t>k</t>
  </si>
  <si>
    <t>Mecanismos de rendición de cuentas a la ciudadanía</t>
  </si>
  <si>
    <r>
      <rPr>
        <sz val="11"/>
        <color rgb="FF000000"/>
        <rFont val="Arial Narrow"/>
      </rPr>
      <t>Se realizó rendición de cuentas de la  vigenca 2025, se Cuenta con informe presentado por la Oficina asesorade Planeación  que consolita la estrategia de Rendición  2025 y el Informe Elaborado por la Oficina de Control interno  el cual esta pendiente de Visto bueno por parte de la Dirección.  Los informes no se encuentran  publicados dado que la entidad actualemnte</t>
    </r>
    <r>
      <rPr>
        <sz val="11"/>
        <color rgb="FFFF0000"/>
        <rFont val="Arial Narrow"/>
        <family val="2"/>
      </rPr>
      <t xml:space="preserve"> </t>
    </r>
    <r>
      <rPr>
        <sz val="11"/>
        <rFont val="Arial Narrow"/>
        <family val="2"/>
      </rPr>
      <t xml:space="preserve">no cuenta con Pagina Web.  </t>
    </r>
  </si>
  <si>
    <t>l</t>
  </si>
  <si>
    <t>Presentación oportuna de sus informes de gestión a las autoridades competentes</t>
  </si>
  <si>
    <t xml:space="preserve">se presentaron los siguientes informes:    Informe sobre  la actividad  litigiosa Ekogui- Segundo semestre 2025, Informe Control Interno contable Vigencia 2025, Rendicón Cuenta Anual Consolidada 2025 -SIRECI, Evaluación Independiente del Sistema de Control Interno  Primer Semestre 2025.    </t>
  </si>
  <si>
    <t>2</t>
  </si>
  <si>
    <t>EVALUACION DEL RIESGO</t>
  </si>
  <si>
    <t>Toda entidad debe identificar, evaluar y gestionar eventos potenciales, tanto internos como externos, que puedan afectar el logro de los objetivos institucionales. Para el caso de su entidad indique si se cuenta con:</t>
  </si>
  <si>
    <t>Identificación de cambios en su entorno que pueden generar consecuencias negativas en su gestión</t>
  </si>
  <si>
    <t xml:space="preserve">La entidadad no contó con nombramiento de Secretario General, Jefe de la Oficina Asesora Jurídica. El jefe de la oficina de Control Interno esta en Encargo, pero no se cuenta con Nombramiento por parte de la Presidencia de la República. </t>
  </si>
  <si>
    <t>Identificación de aquellos problemas o aspectos que pueden afectar el cumplimiento de los planes de la entidad y en general su gestión institucional (riesgos)</t>
  </si>
  <si>
    <t>La entidad está en transición al Programa de Transparencia  acorde con lo relacionado en el Decreto 1122 de 2024 que da lineamientos para la  implementación de  Programas de Transparencia y Ética Pública con las características, estándares, elementos, requisitos, procedimientos y controles mínimos que para tales efectos establezca la Secretaría de Transparencia de la Presidencia de la República.</t>
  </si>
  <si>
    <t>Identificación  de los riesgos relacionados con posibles actos de corrupción en el ejercicio de sus funciones</t>
  </si>
  <si>
    <t>La entidad tiene identificada matriz de Riesgos de Corrupción  que se ajustó en los meses de abril y mayo, sin embargo los riegos no se encuentran publicados  en la pagina WEB .Se cuenta con  matriz en excel aportada por la oficina de Planeación  mediante correo electrónico. No se aportaron actas ni listas de asistencia del proceso.</t>
  </si>
  <si>
    <t>Si su capacidad e infraestructura lo permite, identificación de riesgos asociados a las tecnologías de la información y las comunicaciones</t>
  </si>
  <si>
    <t>Se revisa la matriz de riesgos  reportada por Planeación por correo electrónico, identificando  para el proceso de Informática y Tecnología 1 riesgo de corrupción.</t>
  </si>
  <si>
    <t>3</t>
  </si>
  <si>
    <t>Los líderes de los programas, proyectos, o procesos de la entidad  junto con sus equipos de trabajo:</t>
  </si>
  <si>
    <t>Hacen seguimiento a los problemas (riesgos)  que pueden afectar el cumplimiento de sus procesos, programas o proyectos a cargo</t>
  </si>
  <si>
    <r>
      <t>La entidad cuenta con la plataforma Suite Vision, donde los líderes de procesosrealizan seguimiento a las actividades asociadas a los riesgos de gestión y corrupción cada 4 meses. Dichos seguimientos no están publicados en la pagina Web   institucional;</t>
    </r>
    <r>
      <rPr>
        <sz val="11"/>
        <color rgb="FFFF0000"/>
        <rFont val="Arial Narrow"/>
        <family val="2"/>
      </rPr>
      <t xml:space="preserve"> </t>
    </r>
    <r>
      <rPr>
        <sz val="11"/>
        <rFont val="Arial Narrow"/>
        <family val="2"/>
      </rPr>
      <t>Se cuenta con Informe de seguimiento a riesgos segundo cuatrimestre  elaborado por la oficina Asesora de Planeación , cuyas conlusiones hacen referencia a  sensibilizar la importancia del seguimiento y reporte de las actividades de control para evitar cualquier materialización por fallas en los controles, no detectadas y alinearlos con  la actualización de la política,  incorporando en la vigencia el seguimiento a riesgos fiscales, de seguridad de información y demás que se requieran a partir de la actualización de las normativas.</t>
    </r>
    <r>
      <rPr>
        <sz val="11"/>
        <color rgb="FF000000"/>
        <rFont val="Arial Narrow"/>
      </rPr>
      <t xml:space="preserve">
No se cuenta con el aplicativo Suite Visión para validar seguimientos a riesgos duante el segundo semestre 2025. Dicho aplicativo caduco el 30 de Diciembre de 2025.</t>
    </r>
  </si>
  <si>
    <t>Informan de manera periódica a quien corresponda sobre el desempeño de las actividades de gestión de riesgos</t>
  </si>
  <si>
    <t>El jefe de la oficina Asesora de Planeación  compartió mediante correo electrónico el informe de seguimiento a Riesgos del segundo cuatrimestre de  2025.</t>
  </si>
  <si>
    <t>Identifican deficiencias en las maneras de  controlar los riesgos o problemas en sus procesos, programas o proyectos, y propone los ajustes necesarios</t>
  </si>
  <si>
    <t xml:space="preserve">
La entidad cuenta con la Resolución 20191010001973 12-08-2019 que adopta la política de administración de riesgos de la entidad. 
</t>
  </si>
  <si>
    <t>4</t>
  </si>
  <si>
    <t>Para el manejo de los problemas que afectan el cumplimiento de las metas u objetivos institucionales (riesgos), el jefe de control interno o quien haga sus veces, ha podido evidenciar si en la entidad:</t>
  </si>
  <si>
    <t>Se definen espacios de reunión para conocerlos y proponer acciones para su solución</t>
  </si>
  <si>
    <t>No</t>
  </si>
  <si>
    <t>Durante el segundo semestre se gestionó Comite Institucional de Control Interno pero la agenda no contempló Gestión del Riesgo.</t>
  </si>
  <si>
    <t>Cada líder del equipo autónomamente toma las acciones para solucionarlos.</t>
  </si>
  <si>
    <r>
      <rPr>
        <sz val="11"/>
        <color rgb="FF000000"/>
        <rFont val="Arial Narrow"/>
      </rPr>
      <t>Cada proceso realiza seguimientos  cada 4 meses y se reportan en la Suite Visión de la entidad</t>
    </r>
    <r>
      <rPr>
        <sz val="11"/>
        <rFont val="Arial Narrow"/>
        <family val="2"/>
      </rPr>
      <t>. Sin embargo  no se puede consultar el aplicativo suite visión.</t>
    </r>
  </si>
  <si>
    <t>Solamente hasta que un organismo de control actúa se definen acciones de mejora.</t>
  </si>
  <si>
    <t>Durante el segundo semestre no se realizaron acciones relacionadas.</t>
  </si>
  <si>
    <t>5</t>
  </si>
  <si>
    <t>ACTIVIDADES DE CONTROL</t>
  </si>
  <si>
    <t>Una vez identificados los problemas que afectan el cumplimiento de los planes de la entidad o su gestión institucional, la entidad debe diseñar los controles o mecanismos para darles tratamiento. Para el caso de su entidad indique si se cuenta con:</t>
  </si>
  <si>
    <t>La definición de acciones o actividades para para dar tratamiento a los problemas identificados (mitigación de riesgos), incluyendo aquellos asociados a posibles actos de corrupción</t>
  </si>
  <si>
    <t>la entidad cuenta con la matriz donde se incluyen  acciones para controlar los riesgos.Se cuenta con informe de segundo cuatrimestre 2025.</t>
  </si>
  <si>
    <t>Mecanismos de verificación de si se están o no mitigando los riesgos, o en su defecto, elaboración de planes de contingencia para subsanar sus consecuencias</t>
  </si>
  <si>
    <t>Se realiza seguimiento a riesgos cada 4 meses . A la fecha no se realiza verificación segundo semestre por la contingencia de la página Web institucional.</t>
  </si>
  <si>
    <t>Planes, acciones o estrategias que permitan subsanar las consecuencias de la materialización de los riesgos, cuando se presentan</t>
  </si>
  <si>
    <t>Sí, la entidad cuenta con planes, acciones y estrategias definidas para subsanar las consecuencias derivadas de la materialización de los riesgos.
Asimismo, dispone de indicadores de seguimiento, mecanismos de evaluación y documentación de los procedimientos que permiten gestionar adecuadamente dichos eventos cuando se presentan.</t>
  </si>
  <si>
    <t>Un documento que consolide  los riesgos  y el tratamiento que se les da, incluyendo aquellos que conllevan posibles actos de corrupción y si la capacidad e infraestructura lo permite, los asociados con las tecnologías de la información y las comunicaciones</t>
  </si>
  <si>
    <t>Los seguimientos que se realizan en la plataforma Suit Vision  y publican en la  pagina Web no pudieron ser consultados.</t>
  </si>
  <si>
    <t>Un plan anticorrupción y de servicio al ciudadano con los temas que le aplican, publicado en algún medio para conocimiento de la ciudadanía</t>
  </si>
  <si>
    <t xml:space="preserve">
El INCI se encuentra realizando el proceso de transición e implementación al Programa de Transparencia y Ética Pública, enmarcado en los servicios que presta el Instituto Nacional para Ciegos y las funciones de la entidad, para avanzar y contribuir con la implementación de políticas públicas en materia de transparencia y lucha contra la corrupción y los programas relacionados, en cumplimiento del artículo 73 de la Ley 1474 de 2011 modificado por el artículo 31 de la Ley 2195 de 2022, reglamentado mediante Decreto 1122 de 2024 y demás normas que lo modifiquen y complementen.
</t>
  </si>
  <si>
    <t>6</t>
  </si>
  <si>
    <t>INFORMACION Y COMUNICACIÓN</t>
  </si>
  <si>
    <t>Las entidades deben procurar, de acuerdo con sus propias capacidades internas, que la información y la comunicación que requiere para su gestión y  control interno fluya de manera clara.  Acorde con lo anterior, indique si se cuenta con:</t>
  </si>
  <si>
    <t>Responsables de la información institucional</t>
  </si>
  <si>
    <t xml:space="preserve">Toda la información institucional se canaliza a través de dos áreas del INCI: 
La  oficina de Comunicaciones, maneja toda la información y canales externos del INCI, como: portal web, inci.gov.co; redes sociales, @inci_colombia; plataforma de correo masivos mailchimp; aplicaciones móviles; INCIDigital, INCIRadio, Biblioteca Virtual para ciegos.
La oficina de gestión humana y de la información se maneja línea fija 6013846666 ext. 110 , correo institucional : aciudadano@inci.gov.co y línea celular  3168741014.  Para reportes de actos de corrupción o denuncias se cuenta con el correo institucional : soytransparente@inci.gov.co .
Mediente Resolución 20181130003553.  se adopta la Política de Gestión Documental del Instituto Nacional para Ciegos-INCI. y mediente Resolución 20161110002863  se reglamenta el trámite de las peticiones y la atención de quejas, reclamos y sugerencias en el Instituto Nacional para Ciegos -INCI
La entidad cuenta con el Programa de Gestión Documental – PGD
 *Tablas de Retención Documental – TRD  adoptadas Resolución 20131110004403 
*Plan Institucional de Archivo – PINAR 
*Sistema Integrado de Conservación
Plan de Conservación Documental 
Plan de Preservación Digital 
</t>
  </si>
  <si>
    <t>Canales de comunicación con los ciudadanos</t>
  </si>
  <si>
    <t>Los ciudadanos pueden consultar la información del INCI a través de diferentes canales, aunque se centraliza toda la información en la página web y desde ahí se alimentan contenidos al blog, a las redes sociales y demás espacios informativos.
Las líneas telefónicas están habilitadas para el contacto de las personas, 6013846666 extensión: 110 para servicio a la ciudadanía, y las tres líneas de WhatsApp que dirigen a las áreas del INCI que tienen contacto con la población: Servicio al ciudadano -Línea móvil y de WhatsApp 3168741014; unidades productivas (tienda) – 3176673007; INCIRadio – 3165281236.
Los ciudadanos también pueden escribir al correo aciudadano@inci.gov.co o ingresando su consulta a través de la página: http://38.211.144.98:8081/orfeo/formularioWeb/ a este enlace se ingresa desde el portal del inci.gov.co por atención a la ciudadanía.
O contactarnos a través de las redes sociales @inci_colombia</t>
  </si>
  <si>
    <t>Canales de comunicación o mecanismos de reporte de información a otros organismos gubernamentales o de control</t>
  </si>
  <si>
    <t>A través de la página web, en la sección de transparencia se hacen todas las actualizaciones de los contenidos y periódicamente se hacen emisiones de este contenido en redes sociales y en los programas que sirven de pequeñas rendiciones de cuentas como lo son el programa de radio semanal “INCI Cómo vamos” de INCIRadio y el noticiero virtual del INCI “I.N.C.I Noticias” que sale mensualmente. Además de esto se les invita a participar de las rendiciones de cuentas que normalmente se hacen a fin de año, en diciembre.</t>
  </si>
  <si>
    <t xml:space="preserve">Lineamientos para dar tratamiento a la información de carácter reservado </t>
  </si>
  <si>
    <t>La entidad cuenta con  diferentes procesos de control del material que se publica o se difunde, incluyendo aprobación por parte del jefe de la oficina Asesora de Comunicaciones y en ocasiones, de la Directora General Encargada Se soporta en la POLÍTICA EDITORIAL INCI DG-100-C-POL-0001 VERSIÓN 0001. Además de esto, los contratistas que trabajan con información sensible deben firmar un acuerdo de confidencialidad.</t>
  </si>
  <si>
    <t>Identificación de información que produce en el marco de su gestión (Para los ciudadanos, organismos de control, organismos gubernamentales, entre otros)</t>
  </si>
  <si>
    <t xml:space="preserve">El material o contenido que se emite del INCI, sean comunicados, memorandos, oficios o mensajes institucionales debe salir con un formato y radicado de ORFEO que se establece en el proceso de Gestión Documental del INCI
Plantillas establecidas desde Gestión Documental - ORFEO
FORMATO CIRCULAR.docx Código: SG-112-GD-FM-0129 - Versión: 0003 - Vigencia: 28/06/2024
FORMATO ACUERDO.docx Código: SG-112-GD-FM-0127 - Versión:0003 - Vigencia: 28/06/2024
FORMATO CERTIFICACION.docx Código: SG-112-GD-FM-0128 - Versión: 0003 - Vigencia: 28/06/2024
FORMATO RESOLUCION.docx Código: SG-112-GD-FM-0132 - Versión: 0003 - Vigencia: 28/06/2024
FORMATO OFICIO.docx Código: SG-112-GD-FM-0131 - Versión: 0003 - Vigencia: 28/06/2024
FORMATO MEMORANDO.docx Código: SG-112-GD-FM-0130 - Versión: 0003 - Vigencia: 28/06/2024
</t>
  </si>
  <si>
    <t>Identificación de información necesaria para la operación de la entidad (normograma, presupuesto, talento humano, infraestructura física y tecnológica)</t>
  </si>
  <si>
    <r>
      <t>El INCI cuenta con una estructura definida para la operación institucional, que incluye normograma, presupuesto, talento humano, infraestructura física y tecnológica. Además, dispone de un Plan de Adquisiciones actualizado a Noviembre ,</t>
    </r>
    <r>
      <rPr>
        <sz val="11"/>
        <color rgb="FFFF0000"/>
        <rFont val="Arial Narrow"/>
        <family val="2"/>
      </rPr>
      <t xml:space="preserve"> </t>
    </r>
    <r>
      <rPr>
        <sz val="11"/>
        <rFont val="Arial Narrow"/>
        <family val="2"/>
      </rPr>
      <t>alineado con sus necesidades estratégicas y operativas.</t>
    </r>
  </si>
  <si>
    <t>Si su capacidad e infraestructura lo permite, tecnologías de la información y las comunicaciones que soporten estos procesos</t>
  </si>
  <si>
    <t>Durante el segundo semestre, la entidad adquirió 65 equipos de computo Desktop de los cuales 8  fueron instalados durante el segundo semestre de 2025.</t>
  </si>
  <si>
    <t>7</t>
  </si>
  <si>
    <t>ACTIVIDADES DE MONITOREO</t>
  </si>
  <si>
    <t>Las entidades deben valorar: la eficiencia y eficacia de su gestión y la efectividad del control interno de la entidad pública con el propósito de detectar desviaciones y generar recomendaciones para la mejora. Para el caso de su entidad indique si se cuenta con:</t>
  </si>
  <si>
    <t>Mecanismos de evaluación de la gestión (cronogramas, indicadores, listas de chequeo u otros)</t>
  </si>
  <si>
    <t>Existen conformados  los siguentes comites de  seguimiento:   a través de las  Resoluciones que se rrelacionan evidencia, se relacionan a continuación:  
CONSEJO DIRECTIVO
COMITÉ INSTITUCIONAL DE GESTION Y DESEMPEÑO
COMITÉ DE GESTION AMBIENTAL
COMITÉ DE CONCILIACION
MESA TÉCNICA DE CONTRATACIÓN
COMITÉ DE COORDINACIÓN DE CONTROL INTERNO
COMITÉ DE PRECIOS
COMITÉ DE SOSTENIBILIDAD DEL SISTEMA CONTABLE
Se realiza seguimeinto al Plan de acción anual cuya información se consolida en la Plataforma Suite visión. al igual que el reporte de los  indicadores  de gestión.</t>
  </si>
  <si>
    <t>Algún mecanismo para monitorear o supervisar el sistema de control interno institucional, ya sea por parte del representante legal, o del área de control interno (si la entidad cuenta con ella), o bien a través del Comité departamental o municipal de Auditoría.</t>
  </si>
  <si>
    <t>la entidad cuenta con el Comité Interinstitucional de Control interno, creado mediante Res. No. 20171000004803 del 13 de diciembre de 2017.   Plan de Auditorias aprobado mediente acta No  1 del comite realizado el 27 Febrero de 2025.  Durante el segundo semestre se llevo a cabo  un comite de Coordinación de Control interno (el segundo del año) que tuvo por objeto realizar seguimiento al Plan Anual de Auditoría de la vigencia 2025  e informe del acompañamiento de la Auditoria Financiera   de la vigencia 2024 que adelantó la GCR.</t>
  </si>
  <si>
    <t>Medidas correctivas en caso de detectarse deficiencias en los ejercicios de evaluación, seguimiento o auditoría</t>
  </si>
  <si>
    <t xml:space="preserve">Durante el segundo semestre de la vigencia se realizaron dos procesos de auditorias Internas al proceso Administrativo (inventarios) y al proceso de Gestión Humana (documentación) encontrando hallazgos que estan consignados en los informes de Auditoria. Los planes de Mejoramiento serán objeto de seguimiento durante la vigencia 2026. </t>
  </si>
  <si>
    <t>Seguimiento a los planes de mejoramiento suscritos con instancias de control internas o externas</t>
  </si>
  <si>
    <t>Durante el segundo semestre en el marco del Tercer seguimiento al Plan  unico de Mejoramiento Institucional- PUMII  que cuenta con 40 hallazgos vigentes de Audiorias Internas desde vigencias 2020, ,   se solicito informacion por correo electrónico relacionado con  aporte de evidenicas.
Tambien se realizó el segundo seguimiento   al Plan de mejoramiento de la CGR y reportado en el Sistema de Rendición de Cuentas e Informes de la CGR -SIRECI, evidenciandose cumplimiento de acciones de manera extermporanea. Durante el segundo semestre la CGR realizó Auditoría Financiera a la Vigencia 2024 encontrando 16 Hallazgos sobre los cuales se elaboró Plan de Mejoramiento que fué suscrito a tavésde la plataforma SIRECI.</t>
  </si>
  <si>
    <t>8</t>
  </si>
  <si>
    <t>¿La entidad ha solicitado hacer parte del Comité Municipal de Auditoría, a efectos de contar con un escenario para compartir buenas prácticas en materia de control interno, así como analizar la viabilidad de contar como mínimo con un proceso auditor en la vigencia?</t>
  </si>
  <si>
    <t>La entidad participa en el  Comité Municipal de Auditoría?</t>
  </si>
  <si>
    <t xml:space="preserve">La entidad no participa en comités municipales, dado que es un a entidad del órden nacional. </t>
  </si>
  <si>
    <t>9</t>
  </si>
  <si>
    <t>El jefe de control interno o quien haga sus veces, ha podido evidenciar si en la entidad el manejo que se ha hecho a los problemas que afectan el cumplimiento de sus metas y objetivos (riesgos) le ha permitido:</t>
  </si>
  <si>
    <t>Evitar que los problemas (riesgos) obstaculicen el cumplimiento de los objetivos.</t>
  </si>
  <si>
    <t>Se evidencio en las  actas del comité de Gestión y Desempeño Institucional que el tema de Riesgos no ha sido abordado.</t>
  </si>
  <si>
    <t>Controlar los puntos críticos en los procesos.</t>
  </si>
  <si>
    <t>La OCI diligenció en el mes de septiembre  la matriz evaluación del SCI  del primer semestre 2025  y en el mes de Marzo la correspondiente a segundo semestre conla salvedad que la información e sparcial dado que la entidad a la fecha 5 de marzo, no cuenta con Página Web, ni aplicativo Suite vsión dedo que no se ha surtido el proceso de contratación para est soporte. Tambien se realizó la evaluación del SCI Contable de la vigencia 2025.</t>
  </si>
  <si>
    <t>Diseñar acciones adecuadas para controlar los problemas que afectan el cumplimiento de las metas y objetivos institucionales (riesgos).</t>
  </si>
  <si>
    <t>La Oficina de Control Interno participó en el primer semestre  de un espacio que permitio brindar insumos para la actualización de   la matriz de riesgos del proceso de evaluacion y mejoramiento. No se tiene evidencia de la aprobación dle la Matriz Institucional en el comite de Gestión y desempeño.</t>
  </si>
  <si>
    <t>Ejecutar las acciones de acuerdo a como se diseñaron previamente.</t>
  </si>
  <si>
    <t>No aplica</t>
  </si>
  <si>
    <t>No se gestionan los problemas que afectan el cumplimiento de las funciones y objetivos institucionales(riesgos).</t>
  </si>
  <si>
    <r>
      <rPr>
        <sz val="11"/>
        <color rgb="FF000000"/>
        <rFont val="Arial Narrow"/>
      </rPr>
      <t>Dentro del seguimiento, los líderes de proceso plantean acciones para mitigar los riesgos en caso de que se materialicen .Igualmente a través del comite de gestión y desempeño se abordan temas relacionados con la gestión institucional.</t>
    </r>
    <r>
      <rPr>
        <sz val="11"/>
        <color rgb="FFFF0000"/>
        <rFont val="Arial Narrow"/>
      </rPr>
      <t xml:space="preserve"> </t>
    </r>
    <r>
      <rPr>
        <sz val="11"/>
        <color rgb="FF16365C"/>
        <rFont val="Arial Narrow"/>
      </rPr>
      <t xml:space="preserve"> https://n9.cl/blx5n</t>
    </r>
  </si>
  <si>
    <t>ANÁLISIS DE RESULTADOS PARA LA TOMA DE DECISIONES</t>
  </si>
  <si>
    <t>Se encuentra en proceso, pero requiere continuar con acciones dirigidas a contar con dicho aspecto de control.</t>
  </si>
  <si>
    <t>Se encuentra presente  y funcionando, pero requiere mejoras frente a su diseño, ya que  opera de manera efectiva</t>
  </si>
  <si>
    <t>No se encuentra el aspecto  por lo tanto la entidad debera generar acciones dirigidas a que se cumpla con el requerimiento.</t>
  </si>
  <si>
    <t>RESULTADOS</t>
  </si>
  <si>
    <t>FUENTE DEL ANALISIS</t>
  </si>
  <si>
    <t xml:space="preserve">Seguimiento al control </t>
  </si>
  <si>
    <t>OBSERVACIONES DEL CONTROL</t>
  </si>
  <si>
    <t>NIVEL DE CUMPLIMIENTO-ASPECTOS PARTICULARES POR COMPONENTE</t>
  </si>
  <si>
    <t>NIVEL DE CUMPLIMIENTO COMPONENTE</t>
  </si>
  <si>
    <t>componente</t>
  </si>
  <si>
    <t>Nombre de la Entidad:</t>
  </si>
  <si>
    <t>INSTITUTO NACIONAL PARA CIEGOS INCI</t>
  </si>
  <si>
    <t>Periodo Evaluado:</t>
  </si>
  <si>
    <t>SEGUNDO SEMESTRE 2025</t>
  </si>
  <si>
    <t>Estado del sistema de Control Interno de la entidad</t>
  </si>
  <si>
    <t>Conclusión general sobre la evaluación del Sistema de Control Interno</t>
  </si>
  <si>
    <t>¿Están todos los componentes operando juntos y de manera integrada? (Si / en proceso / No) (Justifique su respuesta):</t>
  </si>
  <si>
    <t>Se evidencia que el Sistema de Control Interno se encuentra en una etapa de desarrollo, con avances importantes en la estructuración de sus elementos. No obstante, la ausencia de una articulación efectiva entre los componentes y la operación conjunta del sistema representa un riesgo para la consolidación de mecanismos de control robustos.</t>
  </si>
  <si>
    <t>¿Es efectivo el sistema de control interno para los objetivos evaluados? (Si/No) (Justifique su respuesta):</t>
  </si>
  <si>
    <t xml:space="preserve">
El proceso se encuentra en fase de fortalecimiento de su efectividad, dado que durante el primer semestre del año se presentaron cambios en el nivel directivo de la entidad, lo cual generó una reconfiguración en la toma de decisiones estratégicas y afectó la continuidad de algunas acciones previamente planificadas. Esta situación ha ocasionado retrasos en la ejecución de actividades clave y en el cumplimiento de los objetivos establecidos.
No obstante, se están adoptando medidas para mitigar el impacto de estos cambios, incluyendo la redefinición de roles, la revisión de planes operativos y la implementación de mecanismos de seguimiento, con miras a establecer indicadores de avance que permitan evaluar el impacto de las acciones correctivas y asegurar la sostenibilidad del proceso en el mediano plazo.</t>
  </si>
  <si>
    <t>La entidad cuenta dentro de su Sistema de Control Interno, con una institucionalidad (Líneas de defensa)  que le permita la toma de decisiones frente al control (Si/No) (Justifique su respuesta):</t>
  </si>
  <si>
    <t xml:space="preserve">
Sí, la entidad cuenta con una institucionalidad definida dentro de su Sistema de Control Interno, estructurada bajo el modelo de líneas de defensa, lo cual permite una toma de decisiones informada y coordinada frente a los aspectos de control.
Las funciones están distribuidas de manera clara entre las distintas líneas:
La primera línea (La Gestión Operativa) ejecuta los controles en el desarrollo de los procesos.
La segunda línea (Funciones de Gestión de Riesgo y Cumplimiento ) brinda soporte metodológico, seguimiento y orientación técnica.
La tercera línea (auditoría interna) realiza evaluaciones independientes sobre la eficacia del sistema.
Estas líneas interactúan de forma articulada, lo que permite una gestión integral del riesgo, una respuesta oportuna ante desviaciones y una mejora continua en los procesos institucionales. La entidad ha demostrado capacidad para tomar decisiones basadas en el análisis conjunto de estas instancias, lo que fortalece la gobernanza y la transparencia en el ejercicio del control.</t>
  </si>
  <si>
    <t>Componente</t>
  </si>
  <si>
    <t>¿se esta cumpliendo los requerimientos ?</t>
  </si>
  <si>
    <t>Nivel de Cumplimiento componente</t>
  </si>
  <si>
    <r>
      <rPr>
        <b/>
        <u/>
        <sz val="20"/>
        <color theme="0"/>
        <rFont val="Arial"/>
        <family val="2"/>
      </rPr>
      <t xml:space="preserve"> Estado actual:</t>
    </r>
    <r>
      <rPr>
        <b/>
        <sz val="20"/>
        <color theme="0"/>
        <rFont val="Arial"/>
        <family val="2"/>
      </rPr>
      <t xml:space="preserve"> Explicacion de las Debilidades y/o Fortalezas encontradas en cada componente</t>
    </r>
  </si>
  <si>
    <r>
      <rPr>
        <b/>
        <u/>
        <sz val="12"/>
        <color rgb="FF000000"/>
        <rFont val="Arial"/>
      </rPr>
      <t xml:space="preserve">Fortalezas identificadas:
</t>
    </r>
    <r>
      <rPr>
        <sz val="12"/>
        <color rgb="FF000000"/>
        <rFont val="Arial"/>
      </rPr>
      <t xml:space="preserve">
</t>
    </r>
    <r>
      <rPr>
        <b/>
        <sz val="12"/>
        <color rgb="FF000000"/>
        <rFont val="Arial"/>
      </rPr>
      <t xml:space="preserve">Marco normativo actualizado: </t>
    </r>
    <r>
      <rPr>
        <sz val="12"/>
        <color rgb="FF000000"/>
        <rFont val="Arial"/>
      </rPr>
      <t xml:space="preserve">El INCI ha adoptado el Decreto 1499 de 2017 y la Resolución No. 20191010002213, integrando el Modelo Estándar de Control Interno (MECI) dentro de su Sistema Integrado de Gestión (SIG), lo que evidencia compromiso institucional con el fortalecimiento del control.
</t>
    </r>
    <r>
      <rPr>
        <b/>
        <sz val="12"/>
        <color rgb="FF000000"/>
        <rFont val="Arial"/>
      </rPr>
      <t>Divulgación institucional:</t>
    </r>
    <r>
      <rPr>
        <sz val="12"/>
        <color rgb="FF000000"/>
        <rFont val="Arial"/>
      </rPr>
      <t xml:space="preserve"> Se encuentra publicada la estructura del SIG, el MIPG y el Código de Integridad vigente 2024, promoviendo valores como honestidad, respeto, compromiso, diligencia y justicia, lo cual fortalece la cultura organizacional.
</t>
    </r>
    <r>
      <rPr>
        <b/>
        <sz val="12"/>
        <color rgb="FF000000"/>
        <rFont val="Arial"/>
      </rPr>
      <t>Planeación estratégica visible:</t>
    </r>
    <r>
      <rPr>
        <sz val="12"/>
        <color rgb="FF000000"/>
        <rFont val="Arial"/>
      </rPr>
      <t xml:space="preserve"> Se han publicado planes institucionales conforme al Decreto 612 de 2018, incluyendo el Plan Estratégico Institucional, Plan de Acción Anual, Plan de Talento Humano, Plan de Bienestar, Plan de Capacitación, entre otros, lo que demuestra una gestión planificada y alineada con los objetivos institucionales.
</t>
    </r>
    <r>
      <rPr>
        <b/>
        <sz val="12"/>
        <color rgb="FF000000"/>
        <rFont val="Arial"/>
      </rPr>
      <t>Evaluación del desempeño laboral:</t>
    </r>
    <r>
      <rPr>
        <sz val="12"/>
        <color rgb="FF000000"/>
        <rFont val="Arial"/>
      </rPr>
      <t xml:space="preserve"> Se aplica el Acuerdo No. 71 de 2023 de la CNSC, lo que garantiza criterios técnicos y objetivos en la evaluación del personal de carrera.
</t>
    </r>
    <r>
      <rPr>
        <b/>
        <sz val="12"/>
        <color rgb="FF000000"/>
        <rFont val="Arial"/>
      </rPr>
      <t>Producción de informes institucionales:</t>
    </r>
    <r>
      <rPr>
        <sz val="12"/>
        <color rgb="FF000000"/>
        <rFont val="Arial"/>
      </rPr>
      <t xml:space="preserve"> Se han elaborado y almacenado informes como el de Control Interno Contable, SIRECI, Derechos de Autor, Ekogui, FURAK, entre otros, lo que refleja seguimiento y monitoreo de la gestión.
</t>
    </r>
    <r>
      <rPr>
        <b/>
        <u/>
        <sz val="12"/>
        <color rgb="FF000000"/>
        <rFont val="Arial"/>
      </rPr>
      <t xml:space="preserve">Debilidades identificadas:
</t>
    </r>
    <r>
      <rPr>
        <sz val="12"/>
        <color rgb="FF000000"/>
        <rFont val="Arial"/>
      </rPr>
      <t xml:space="preserve">
</t>
    </r>
    <r>
      <rPr>
        <b/>
        <sz val="12"/>
        <color rgb="FF000000"/>
        <rFont val="Arial"/>
      </rPr>
      <t>Desactualización normativa:</t>
    </r>
    <r>
      <rPr>
        <sz val="12"/>
        <color rgb="FF000000"/>
        <rFont val="Arial"/>
      </rPr>
      <t xml:space="preserve"> El Código de Ética y Buen Gobierno hace referencia en la pagina Web al Ministerio de Educación Nacional, cuando actualmente el INCI está adscrito al Ministerio de la Igualdad, lo que requiere una actualización urgente para mantener coherencia institucional.
</t>
    </r>
    <r>
      <rPr>
        <b/>
        <sz val="12"/>
        <color rgb="FF000000"/>
        <rFont val="Arial"/>
      </rPr>
      <t>Planes no publicados:</t>
    </r>
    <r>
      <rPr>
        <sz val="12"/>
        <color rgb="FF000000"/>
        <rFont val="Arial"/>
      </rPr>
      <t xml:space="preserve"> No se encuentran disponibles planes como el de TIC, Seguridad y Privacidad de la Información, Tratamiento de Riesgos, Previsión de Recursos Humanos y el Plan Anticorrupción y Atención al Ciudadano, lo que afecta la transparencia y la gestión del riesgo.
</t>
    </r>
    <r>
      <rPr>
        <b/>
        <sz val="12"/>
        <color rgb="FF000000"/>
        <rFont val="Arial"/>
      </rPr>
      <t>Procedimientos administrativos en revisión</t>
    </r>
    <r>
      <rPr>
        <sz val="12"/>
        <color rgb="FF000000"/>
        <rFont val="Arial"/>
      </rPr>
      <t xml:space="preserve">: El procedimiento SG-110-PD-036 sobre situaciones administrativas está en proceso de ajuste.
</t>
    </r>
    <r>
      <rPr>
        <b/>
        <sz val="12"/>
        <color rgb="FF000000"/>
        <rFont val="Arial"/>
      </rPr>
      <t>Transición institucional:</t>
    </r>
    <r>
      <rPr>
        <sz val="12"/>
        <color rgb="FF000000"/>
        <rFont val="Arial"/>
      </rPr>
      <t xml:space="preserve"> El Plan de Anticorrupción está en construcción y se encuentra en transición hacia el Programa de Transparencia.</t>
    </r>
  </si>
  <si>
    <t>EVALUCION DEL RIESGO</t>
  </si>
  <si>
    <r>
      <rPr>
        <b/>
        <sz val="12"/>
        <color rgb="FF000000"/>
        <rFont val="Calibri"/>
        <scheme val="minor"/>
      </rPr>
      <t xml:space="preserve">Fortalezas
</t>
    </r>
    <r>
      <rPr>
        <sz val="12"/>
        <color rgb="FF000000"/>
        <rFont val="Calibri"/>
        <scheme val="minor"/>
      </rPr>
      <t xml:space="preserve">
</t>
    </r>
    <r>
      <rPr>
        <b/>
        <sz val="12"/>
        <color rgb="FF000000"/>
        <rFont val="Calibri"/>
        <scheme val="minor"/>
      </rPr>
      <t xml:space="preserve">Identificación de riesgos emergentes:
</t>
    </r>
    <r>
      <rPr>
        <sz val="12"/>
        <color rgb="FF000000"/>
        <rFont val="Calibri"/>
        <scheme val="minor"/>
      </rPr>
      <t xml:space="preserve">La entidad demostró capacidad de respuesta ante situaciones externas, como el brote de fiebre amarilla, ajustando sus actividades mediante asistencia virtual. Esto evidencia sensibilidad al entorno y capacidad de adaptación.
</t>
    </r>
    <r>
      <rPr>
        <b/>
        <sz val="12"/>
        <color rgb="FF000000"/>
        <rFont val="Calibri"/>
        <scheme val="minor"/>
      </rPr>
      <t xml:space="preserve">Reconocimiento de riesgos institucionales:
</t>
    </r>
    <r>
      <rPr>
        <sz val="12"/>
        <color rgb="FF000000"/>
        <rFont val="Calibri"/>
        <scheme val="minor"/>
      </rPr>
      <t xml:space="preserve">Se ha identificado el impacto de la transición al Programa de Transparencia, en cumplimiento del Decreto 1122 de 2024, lo que refleja alineación con los lineamientos nacionales.
</t>
    </r>
    <r>
      <rPr>
        <b/>
        <sz val="12"/>
        <color rgb="FF000000"/>
        <rFont val="Calibri"/>
        <scheme val="minor"/>
      </rPr>
      <t xml:space="preserve">Existencia de matriz de riesgos de corrupción:
</t>
    </r>
    <r>
      <rPr>
        <sz val="12"/>
        <color rgb="FF000000"/>
        <rFont val="Calibri"/>
        <scheme val="minor"/>
      </rPr>
      <t xml:space="preserve">Aunque en versión preliminar, se cuenta con una matriz que fue actualizada recientemente, lo que indica avances en la gestión de riesgos específicos.
</t>
    </r>
    <r>
      <rPr>
        <b/>
        <sz val="12"/>
        <color rgb="FF000000"/>
        <rFont val="Calibri"/>
        <scheme val="minor"/>
      </rPr>
      <t xml:space="preserve">Uso de herramientas tecnológicas para seguimiento:
</t>
    </r>
    <r>
      <rPr>
        <sz val="12"/>
        <color rgb="FF000000"/>
        <rFont val="Calibri"/>
        <scheme val="minor"/>
      </rPr>
      <t xml:space="preserve">La plataforma Suite Visión permite realizar seguimiento periódico a las actividades asociadas a riesgos, lo que representa una base para fortalecer el monitoreo.
</t>
    </r>
    <r>
      <rPr>
        <b/>
        <sz val="12"/>
        <color rgb="FF000000"/>
        <rFont val="Calibri"/>
        <scheme val="minor"/>
      </rPr>
      <t xml:space="preserve">Espacios de diálogo institucional:
</t>
    </r>
    <r>
      <rPr>
        <sz val="12"/>
        <color rgb="FF000000"/>
        <rFont val="Calibri"/>
        <scheme val="minor"/>
      </rPr>
      <t xml:space="preserve">Se han realizado reuniones con Planeación para revisar y ajustar riesgos, lo que evidencia voluntad institucional para mejorar el componente.
</t>
    </r>
    <r>
      <rPr>
        <b/>
        <u/>
        <sz val="12"/>
        <color rgb="FF000000"/>
        <rFont val="Calibri"/>
        <scheme val="minor"/>
      </rPr>
      <t xml:space="preserve">Debilidades
</t>
    </r>
    <r>
      <rPr>
        <sz val="12"/>
        <color rgb="FF000000"/>
        <rFont val="Calibri"/>
        <scheme val="minor"/>
      </rPr>
      <t xml:space="preserve">
</t>
    </r>
    <r>
      <rPr>
        <b/>
        <sz val="12"/>
        <color rgb="FF000000"/>
        <rFont val="Calibri"/>
        <scheme val="minor"/>
      </rPr>
      <t xml:space="preserve">Publicación y transparencia limitada:
</t>
    </r>
    <r>
      <rPr>
        <sz val="12"/>
        <color rgb="FF000000"/>
        <rFont val="Calibri"/>
        <scheme val="minor"/>
      </rPr>
      <t xml:space="preserve">Las matrices de riesgos (gestión, corrupción, TIC) no se encuentran publicadas en la página web institucional, lo que afecta la transparencia y el acceso a la información.
</t>
    </r>
    <r>
      <rPr>
        <b/>
        <sz val="12"/>
        <color rgb="FF000000"/>
        <rFont val="Calibri"/>
        <scheme val="minor"/>
      </rPr>
      <t xml:space="preserve">Seguimiento incompleto y poco estructurado:
</t>
    </r>
    <r>
      <rPr>
        <sz val="12"/>
        <color rgb="FF000000"/>
        <rFont val="Calibri"/>
        <scheme val="minor"/>
      </rPr>
      <t xml:space="preserve">Aunque se realiza seguimiento cada 4 meses, los reportes no evidencian claramente el vínculo entre actividades y riesgos, ni el cumplimiento de tiempos establecidos.
</t>
    </r>
    <r>
      <rPr>
        <b/>
        <sz val="12"/>
        <color rgb="FF000000"/>
        <rFont val="Calibri"/>
        <scheme val="minor"/>
      </rPr>
      <t xml:space="preserve">Matriz de riesgos en estado preliminar:
</t>
    </r>
    <r>
      <rPr>
        <sz val="12"/>
        <color rgb="FF000000"/>
        <rFont val="Calibri"/>
        <scheme val="minor"/>
      </rPr>
      <t xml:space="preserve">La versión compartida por Planeación no se encuentra publicada y apobada en la pagina Web, lo que limita su utilidad para la toma de decisiones y el reporte oficial.
</t>
    </r>
    <r>
      <rPr>
        <b/>
        <sz val="12"/>
        <color rgb="FF000000"/>
        <rFont val="Calibri"/>
        <scheme val="minor"/>
      </rPr>
      <t xml:space="preserve">Riesgos TIC poco desarrollados:
</t>
    </r>
    <r>
      <rPr>
        <sz val="12"/>
        <color rgb="FF000000"/>
        <rFont val="Calibri"/>
        <scheme val="minor"/>
      </rPr>
      <t xml:space="preserve">Solo se ha identificado un riesgo de corrupción en el área de tecnología, aún en construcción, lo que evidencia una cobertura limitada en este frente.
</t>
    </r>
    <r>
      <rPr>
        <b/>
        <sz val="12"/>
        <color rgb="FF000000"/>
        <rFont val="Calibri"/>
        <scheme val="minor"/>
      </rPr>
      <t xml:space="preserve">Ausencia de comité institucional de control interno:
</t>
    </r>
    <r>
      <rPr>
        <sz val="12"/>
        <color rgb="FF000000"/>
        <rFont val="Calibri"/>
        <scheme val="minor"/>
      </rPr>
      <t xml:space="preserve">No se ha gestionado formalmente el comité para abordar temas de riesgos, lo que limita la articulación y el seguimiento estratégico.
</t>
    </r>
    <r>
      <rPr>
        <b/>
        <sz val="12"/>
        <color rgb="FF000000"/>
        <rFont val="Calibri"/>
        <scheme val="minor"/>
      </rPr>
      <t xml:space="preserve">Acciones correctivas reactivas:
</t>
    </r>
    <r>
      <rPr>
        <sz val="12"/>
        <color rgb="FF000000"/>
        <rFont val="Calibri"/>
        <scheme val="minor"/>
      </rPr>
      <t>Se observa que en algunos casos las acciones de mejora se definen únicamente tras la intervención de organismos de control, lo que refleja una debilidad en la proactividad institucional.</t>
    </r>
  </si>
  <si>
    <t>ACTIVIDADES DEL CONTROL</t>
  </si>
  <si>
    <r>
      <rPr>
        <b/>
        <sz val="11"/>
        <color rgb="FF000000"/>
        <rFont val="Calibri"/>
        <scheme val="minor"/>
      </rPr>
      <t xml:space="preserve">Fortalezas.
Existencia de matriz de riesgos con acciones de tratamiento
</t>
    </r>
    <r>
      <rPr>
        <sz val="11"/>
        <color rgb="FF000000"/>
        <rFont val="Calibri"/>
        <scheme val="minor"/>
      </rPr>
      <t xml:space="preserve">La entidad cuenta con una matriz que incluye acciones específicas para mitigar riesgos, incluyendo aquellos relacionados con posibles actos de corrupción, lo que evidencia una base estructural para la gestión del control.
</t>
    </r>
    <r>
      <rPr>
        <b/>
        <sz val="11"/>
        <color rgb="FF000000"/>
        <rFont val="Calibri"/>
        <scheme val="minor"/>
      </rPr>
      <t xml:space="preserve">Seguimiento periódico a riesgos
</t>
    </r>
    <r>
      <rPr>
        <sz val="11"/>
        <color rgb="FF000000"/>
        <rFont val="Calibri"/>
        <scheme val="minor"/>
      </rPr>
      <t xml:space="preserve">Se realiza seguimiento cada cuatro meses a través de la plataforma Suite Visión, lo que permite monitorear el avance de las actividades de control y tomar decisiones correctivas.
</t>
    </r>
    <r>
      <rPr>
        <b/>
        <sz val="11"/>
        <color rgb="FF000000"/>
        <rFont val="Calibri"/>
        <scheme val="minor"/>
      </rPr>
      <t xml:space="preserve">Planes de contingencia y estrategias de respuesta
</t>
    </r>
    <r>
      <rPr>
        <sz val="11"/>
        <color rgb="FF000000"/>
        <rFont val="Calibri"/>
        <scheme val="minor"/>
      </rPr>
      <t xml:space="preserve">Se han definido acciones desde Planeación para atender las consecuencias de la materialización de riesgos, lo que demuestra capacidad de reacción institucional.
</t>
    </r>
    <r>
      <rPr>
        <b/>
        <sz val="11"/>
        <color rgb="FF000000"/>
        <rFont val="Calibri"/>
        <scheme val="minor"/>
      </rPr>
      <t xml:space="preserve">Consolidación documental de riesgos y controles
</t>
    </r>
    <r>
      <rPr>
        <sz val="11"/>
        <color rgb="FF000000"/>
        <rFont val="Calibri"/>
        <scheme val="minor"/>
      </rPr>
      <t xml:space="preserve">A través de la Suite Visión se genera un reporte que consolida los riesgos y las acciones de control, incluyendo los relacionados con corrupción y TIC, lo que facilita la trazabilidad.
</t>
    </r>
    <r>
      <rPr>
        <b/>
        <sz val="11"/>
        <color rgb="FF000000"/>
        <rFont val="Calibri"/>
        <scheme val="minor"/>
      </rPr>
      <t xml:space="preserve">Avance en la implementación del Programa de Transparencia y Ética Pública
</t>
    </r>
    <r>
      <rPr>
        <sz val="11"/>
        <color rgb="FF000000"/>
        <rFont val="Calibri"/>
        <scheme val="minor"/>
      </rPr>
      <t xml:space="preserve">La entidad está en proceso de transición al PTEP, en cumplimiento de la normativa vigente, lo que fortalece el enfoque preventivo frente a la corrupción.
</t>
    </r>
    <r>
      <rPr>
        <b/>
        <u/>
        <sz val="11"/>
        <color rgb="FF000000"/>
        <rFont val="Calibri"/>
        <scheme val="minor"/>
      </rPr>
      <t xml:space="preserve">Debilidades
</t>
    </r>
    <r>
      <rPr>
        <sz val="11"/>
        <color rgb="FF000000"/>
        <rFont val="Calibri"/>
        <scheme val="minor"/>
      </rPr>
      <t xml:space="preserve">
</t>
    </r>
    <r>
      <rPr>
        <b/>
        <sz val="11"/>
        <color rgb="FF000000"/>
        <rFont val="Calibri"/>
        <scheme val="minor"/>
      </rPr>
      <t xml:space="preserve">Falta de publicación de información clave
</t>
    </r>
    <r>
      <rPr>
        <sz val="11"/>
        <color rgb="FF000000"/>
        <rFont val="Calibri"/>
        <scheme val="minor"/>
      </rPr>
      <t xml:space="preserve">La matriz de riesgos y los reportes de seguimiento no están disponibles en la página web institucional, lo que limita la transparencia y el acceso ciudadano.
</t>
    </r>
    <r>
      <rPr>
        <b/>
        <sz val="11"/>
        <color rgb="FF000000"/>
        <rFont val="Calibri"/>
        <scheme val="minor"/>
      </rPr>
      <t xml:space="preserve">Limitaciones en el aplicativo Suite Visión
</t>
    </r>
    <r>
      <rPr>
        <sz val="11"/>
        <color rgb="FF000000"/>
        <rFont val="Calibri"/>
        <scheme val="minor"/>
      </rPr>
      <t xml:space="preserve">Los reportes generados no identifican claramente el riesgo asociado a cada acción de control, lo que dificulta la evaluación de la efectividad de las medidas implementadas.
</t>
    </r>
    <r>
      <rPr>
        <b/>
        <sz val="11"/>
        <color rgb="FF000000"/>
        <rFont val="Calibri"/>
        <scheme val="minor"/>
      </rPr>
      <t xml:space="preserve">Plan anticorrupción en proceso de implementación
</t>
    </r>
    <r>
      <rPr>
        <sz val="11"/>
        <color rgb="FF000000"/>
        <rFont val="Calibri"/>
        <scheme val="minor"/>
      </rPr>
      <t xml:space="preserve">Aunque se está avanzando en el marco del PTEP, el plan anticorrupción aún no está completamente consolidado ni publicado de forma accesible para la ciudadanía.
</t>
    </r>
    <r>
      <rPr>
        <b/>
        <sz val="11"/>
        <color rgb="FF000000"/>
        <rFont val="Calibri"/>
        <scheme val="minor"/>
      </rPr>
      <t xml:space="preserve">Seguimiento con inconsistencias técnicas
</t>
    </r>
    <r>
      <rPr>
        <sz val="11"/>
        <color rgb="FF000000"/>
        <rFont val="Calibri"/>
        <scheme val="minor"/>
      </rPr>
      <t xml:space="preserve">Se han identificado duplicidades y errores en el registro de actividades dentro del aplicativo en Suite Vision , lo que puede afectar la calidad del análisis y la toma de decisiones.
</t>
    </r>
  </si>
  <si>
    <r>
      <rPr>
        <b/>
        <u/>
        <sz val="11"/>
        <color rgb="FF000000"/>
        <rFont val="Calibri"/>
        <scheme val="minor"/>
      </rPr>
      <t xml:space="preserve">Fortalezas
</t>
    </r>
    <r>
      <rPr>
        <sz val="11"/>
        <color rgb="FF000000"/>
        <rFont val="Calibri"/>
        <scheme val="minor"/>
      </rPr>
      <t xml:space="preserve">
</t>
    </r>
    <r>
      <rPr>
        <b/>
        <sz val="11"/>
        <color rgb="FF000000"/>
        <rFont val="Calibri"/>
        <scheme val="minor"/>
      </rPr>
      <t xml:space="preserve">Estructura institucional clara para la gestión de la información
</t>
    </r>
    <r>
      <rPr>
        <sz val="11"/>
        <color rgb="FF000000"/>
        <rFont val="Calibri"/>
        <scheme val="minor"/>
      </rPr>
      <t xml:space="preserve">La entidad ha definido responsables específicos para la gestión de la información institucional, tanto para canales externos (Oficina de Comunicaciones) como para la atención ciudadana (Gestión Humana e Información), lo que garantiza trazabilidad y control.
</t>
    </r>
    <r>
      <rPr>
        <b/>
        <sz val="11"/>
        <color rgb="FF000000"/>
        <rFont val="Calibri"/>
        <scheme val="minor"/>
      </rPr>
      <t xml:space="preserve">Diversidad de canales de comunicación con la ciudadanía
</t>
    </r>
    <r>
      <rPr>
        <sz val="11"/>
        <color rgb="FF000000"/>
        <rFont val="Calibri"/>
        <scheme val="minor"/>
      </rPr>
      <t xml:space="preserve">Se dispone de múltiples medios de contacto (líneas telefónicas, WhatsApp, correo electrónico, redes sociales, portal web, blog, INCIRadio, entre otros), lo que facilita el acceso a la información y promueve la participación ciudadana.
</t>
    </r>
    <r>
      <rPr>
        <b/>
        <sz val="11"/>
        <color rgb="FF000000"/>
        <rFont val="Calibri"/>
        <scheme val="minor"/>
      </rPr>
      <t xml:space="preserve">Mecanismos de reporte a organismos de control y rendición de cuentas
</t>
    </r>
    <r>
      <rPr>
        <sz val="11"/>
        <color rgb="FF000000"/>
        <rFont val="Calibri"/>
        <scheme val="minor"/>
      </rPr>
      <t xml:space="preserve">La entidad publica información periódica en su portal web y utiliza espacios como programas radiales y noticieros virtuales para socializar avances institucionales, fortaleciendo la transparencia.
</t>
    </r>
    <r>
      <rPr>
        <b/>
        <sz val="11"/>
        <color rgb="FF000000"/>
        <rFont val="Calibri"/>
        <scheme val="minor"/>
      </rPr>
      <t xml:space="preserve">Lineamientos para el tratamiento de información reservada
</t>
    </r>
    <r>
      <rPr>
        <sz val="11"/>
        <color rgb="FF000000"/>
        <rFont val="Calibri"/>
        <scheme val="minor"/>
      </rPr>
      <t xml:space="preserve">Existen controles internos para la publicación de información, incluyendo validación por parte de la Oficina de Comunicaciones y acuerdos de confidencialidad firmados por contratistas, lo que protege la información sensible.
</t>
    </r>
    <r>
      <rPr>
        <b/>
        <sz val="11"/>
        <color rgb="FF000000"/>
        <rFont val="Calibri"/>
        <scheme val="minor"/>
      </rPr>
      <t xml:space="preserve">Gestión documental institucionalizada
</t>
    </r>
    <r>
      <rPr>
        <sz val="11"/>
        <color rgb="FF000000"/>
        <rFont val="Calibri"/>
        <scheme val="minor"/>
      </rPr>
      <t xml:space="preserve">Se cuenta con una Política de Gestión Documental, Programa de Gestión Documental (PGD), Tablas de Retención Documental (TRD), PINAR, y planes de conservación y preservación digital, lo que garantiza la organización, acceso y conservación de la información.
</t>
    </r>
    <r>
      <rPr>
        <b/>
        <sz val="11"/>
        <color rgb="FF000000"/>
        <rFont val="Calibri"/>
        <scheme val="minor"/>
      </rPr>
      <t xml:space="preserve">Estandarización de formatos institucionales
</t>
    </r>
    <r>
      <rPr>
        <sz val="11"/>
        <color rgb="FF000000"/>
        <rFont val="Calibri"/>
        <scheme val="minor"/>
      </rPr>
      <t xml:space="preserve">La entidad ha definido y actualizado formatos oficiales para la emisión de documentos (circulares, oficios, resoluciones, etc.), lo que contribuye a la uniformidad y formalidad en la comunicación.
</t>
    </r>
    <r>
      <rPr>
        <b/>
        <u/>
        <sz val="11"/>
        <color rgb="FF000000"/>
        <rFont val="Calibri"/>
        <scheme val="minor"/>
      </rPr>
      <t xml:space="preserve">Debilidades
</t>
    </r>
    <r>
      <rPr>
        <b/>
        <sz val="11"/>
        <color rgb="FF000000"/>
        <rFont val="Calibri"/>
        <scheme val="minor"/>
      </rPr>
      <t xml:space="preserve">Limitaciones tecnológicas para soportar procesos de información
</t>
    </r>
    <r>
      <rPr>
        <sz val="11"/>
        <color rgb="FF000000"/>
        <rFont val="Calibri"/>
        <scheme val="minor"/>
      </rPr>
      <t xml:space="preserve">Se identificó que la infraestructura tecnológica actual no es completamente idónea para las necesidades de las áreas, lo que puede afectar la eficiencia en la gestión y difusión de la información.
</t>
    </r>
    <r>
      <rPr>
        <b/>
        <sz val="11"/>
        <color rgb="FF000000"/>
        <rFont val="Calibri"/>
        <scheme val="minor"/>
      </rPr>
      <t xml:space="preserve">Falta de publicación de algunos contenidos clave
</t>
    </r>
    <r>
      <rPr>
        <sz val="11"/>
        <color rgb="FF000000"/>
        <rFont val="Calibri"/>
        <scheme val="minor"/>
      </rPr>
      <t xml:space="preserve">Aunque se cuenta con herramientas y plataformas, no toda la información relevante (como seguimientos a riesgos o matrices actualizadas) está disponible en el portal institucional, lo que limita la transparencia activa.
</t>
    </r>
    <r>
      <rPr>
        <b/>
        <sz val="11"/>
        <color rgb="FF000000"/>
        <rFont val="Calibri"/>
        <scheme val="minor"/>
      </rPr>
      <t xml:space="preserve">Dependencia de validaciones manuales para la publicación de información
</t>
    </r>
    <r>
      <rPr>
        <sz val="11"/>
        <color rgb="FF000000"/>
        <rFont val="Calibri"/>
        <scheme val="minor"/>
      </rPr>
      <t>El proceso de aprobación de contenidos puede generar cuellos de botella si no se cuenta con protocolos ágiles, especialmente en situaciones que requieren comunicación inmediata.</t>
    </r>
  </si>
  <si>
    <t xml:space="preserve">ACTIVIDADES DE MONITOREO </t>
  </si>
  <si>
    <r>
      <rPr>
        <b/>
        <u/>
        <sz val="11"/>
        <color rgb="FF000000"/>
        <rFont val="Calibri"/>
        <scheme val="minor"/>
      </rPr>
      <t xml:space="preserve">Fortalezas
</t>
    </r>
    <r>
      <rPr>
        <sz val="11"/>
        <color rgb="FF000000"/>
        <rFont val="Calibri"/>
        <scheme val="minor"/>
      </rPr>
      <t xml:space="preserve">
</t>
    </r>
    <r>
      <rPr>
        <b/>
        <sz val="11"/>
        <color rgb="FF000000"/>
        <rFont val="Calibri"/>
        <scheme val="minor"/>
      </rPr>
      <t xml:space="preserve">Existencia de comités institucionales para seguimiento y evaluación
</t>
    </r>
    <r>
      <rPr>
        <sz val="11"/>
        <color rgb="FF000000"/>
        <rFont val="Calibri"/>
        <scheme val="minor"/>
      </rPr>
      <t xml:space="preserve">La entidad cuenta con  comités formalmente constituidos (Consejo Directivo, Comité de Gestión y Desempeño, Comité de Coordinación de Control Interno, entre otros), lo que demuestra una estructura organizativa sólida para el monitoreo de la gestión.
</t>
    </r>
    <r>
      <rPr>
        <b/>
        <sz val="11"/>
        <color rgb="FF000000"/>
        <rFont val="Calibri"/>
        <scheme val="minor"/>
      </rPr>
      <t xml:space="preserve">Seguimiento al Plan de Acción e indicadores de gestión
</t>
    </r>
    <r>
      <rPr>
        <sz val="11"/>
        <color rgb="FF000000"/>
        <rFont val="Calibri"/>
        <scheme val="minor"/>
      </rPr>
      <t xml:space="preserve">Se realiza seguimiento periódico al Plan de Acción Anual y a los indicadores de gestión a través de la plataforma Suite Visión, lo que permite consolidar información clave para la toma de decisiones.
</t>
    </r>
    <r>
      <rPr>
        <b/>
        <sz val="11"/>
        <color rgb="FF000000"/>
        <rFont val="Calibri"/>
        <scheme val="minor"/>
      </rPr>
      <t xml:space="preserve">Plan de Auditorías aprobado y en ejecución
</t>
    </r>
    <r>
      <rPr>
        <sz val="11"/>
        <color rgb="FF000000"/>
        <rFont val="Calibri"/>
        <scheme val="minor"/>
      </rPr>
      <t xml:space="preserve">La entidad cuenta con un Plan de Auditorías institucional aprobado por el Comité de Control Interno, lo que evidencia planificación y ejecución de actividades de evaluación.
</t>
    </r>
    <r>
      <rPr>
        <b/>
        <sz val="11"/>
        <color rgb="FF000000"/>
        <rFont val="Calibri"/>
        <scheme val="minor"/>
      </rPr>
      <t xml:space="preserve">Seguimiento a planes de mejoramiento institucionales y externos
</t>
    </r>
    <r>
      <rPr>
        <sz val="11"/>
        <color rgb="FF000000"/>
        <rFont val="Calibri"/>
        <scheme val="minor"/>
      </rPr>
      <t xml:space="preserve">Se han realizado seguimientos al Plan Único de Mejoramiento (PUMI) y al plan suscrito con la Contraloría General de la República (CGR), logrando el cierre de hallazgos históricos, lo que refleja avances en la gestión correctiva.
</t>
    </r>
    <r>
      <rPr>
        <b/>
        <sz val="11"/>
        <color rgb="FF000000"/>
        <rFont val="Calibri"/>
        <scheme val="minor"/>
      </rPr>
      <t xml:space="preserve">Participación activa de la Oficina de Control Interno (OCI)
</t>
    </r>
    <r>
      <rPr>
        <sz val="11"/>
        <color rgb="FF000000"/>
        <rFont val="Calibri"/>
        <scheme val="minor"/>
      </rPr>
      <t xml:space="preserve">La OCI realiza evaluaciones periódicas del Sistema de Control Interno (SCI), incluyendo el SCI contable y el desempeño institucional a través del FURAG, lo que fortalece el monitoreo técnico.
</t>
    </r>
    <r>
      <rPr>
        <b/>
        <u/>
        <sz val="11"/>
        <color rgb="FF000000"/>
        <rFont val="Calibri"/>
        <scheme val="minor"/>
      </rPr>
      <t xml:space="preserve">Debilidades
</t>
    </r>
    <r>
      <rPr>
        <sz val="11"/>
        <color rgb="FF000000"/>
        <rFont val="Calibri"/>
        <scheme val="minor"/>
      </rPr>
      <t xml:space="preserve">
</t>
    </r>
    <r>
      <rPr>
        <b/>
        <sz val="11"/>
        <color rgb="FF000000"/>
        <rFont val="Calibri"/>
        <scheme val="minor"/>
      </rPr>
      <t xml:space="preserve">No se aborda el tema de riesgos en comités clave
</t>
    </r>
    <r>
      <rPr>
        <sz val="11"/>
        <color rgb="FF000000"/>
        <rFont val="Calibri"/>
        <scheme val="minor"/>
      </rPr>
      <t xml:space="preserve">Se evidenció que el Comité de Gestión y Desempeño no ha tratado el tema de riesgos, lo que representa una omisión crítica en la articulación del monitoreo con la gestión del riesgo.
</t>
    </r>
    <r>
      <rPr>
        <b/>
        <sz val="11"/>
        <color rgb="FF000000"/>
        <rFont val="Calibri"/>
        <scheme val="minor"/>
      </rPr>
      <t xml:space="preserve">Seguimiento parcial a la matriz de riesgos institucional
</t>
    </r>
    <r>
      <rPr>
        <sz val="11"/>
        <color rgb="FF000000"/>
        <rFont val="Calibri"/>
        <scheme val="minor"/>
      </rPr>
      <t xml:space="preserve">Aunque se han brindado insumos para su actualización, no se cuenta con evidencia de la aprobación formal de la matriz en los comités correspondientes, lo que limita su operatividad.
</t>
    </r>
    <r>
      <rPr>
        <b/>
        <sz val="11"/>
        <color rgb="FF000000"/>
        <rFont val="Calibri"/>
        <scheme val="minor"/>
      </rPr>
      <t xml:space="preserve">Acciones de control no siempre se ejecutan como fueron diseñadas
</t>
    </r>
    <r>
      <rPr>
        <sz val="11"/>
        <color rgb="FF000000"/>
        <rFont val="Calibri"/>
        <scheme val="minor"/>
      </rPr>
      <t xml:space="preserve">No se tiene evidencia de que las acciones definidas para mitigar riesgos se estén ejecutando conforme a lo planeado, lo que afecta la efectividad del monitoreo.
</t>
    </r>
    <r>
      <rPr>
        <b/>
        <sz val="11"/>
        <color rgb="FF000000"/>
        <rFont val="Calibri"/>
        <scheme val="minor"/>
      </rPr>
      <t xml:space="preserve">Limitada gestión proactiva de riesgos
</t>
    </r>
    <r>
      <rPr>
        <sz val="11"/>
        <color rgb="FF000000"/>
        <rFont val="Calibri"/>
        <scheme val="minor"/>
      </rPr>
      <t xml:space="preserve">En algunos casos, los problemas que afectan el cumplimiento de funciones y objetivos institucionales no se gestionan de manera preventiva, sino reactiva, lo que puede comprometer el logro de metas.
</t>
    </r>
    <r>
      <rPr>
        <b/>
        <sz val="11"/>
        <color rgb="FF000000"/>
        <rFont val="Calibri"/>
        <scheme val="minor"/>
      </rPr>
      <t xml:space="preserve">No participación en comités municipales de auditoría
</t>
    </r>
    <r>
      <rPr>
        <sz val="11"/>
        <color rgb="FF000000"/>
        <rFont val="Calibri"/>
        <scheme val="minor"/>
      </rPr>
      <t>Aunque justificado por el carácter nacional de la entidad, esta ausencia limita la articulación territorial en procesos de control y seguimiento.</t>
    </r>
  </si>
  <si>
    <t xml:space="preserve">Evaluación </t>
  </si>
  <si>
    <t>Puntaje</t>
  </si>
  <si>
    <t xml:space="preserve">Orden </t>
  </si>
  <si>
    <t>Nivel de cumplimiento -Aaspectos particulares por componente</t>
  </si>
  <si>
    <t xml:space="preserve">Promedios </t>
  </si>
  <si>
    <t>1a</t>
  </si>
  <si>
    <t>1b</t>
  </si>
  <si>
    <t>1c</t>
  </si>
  <si>
    <t>1d</t>
  </si>
  <si>
    <t>1e</t>
  </si>
  <si>
    <t>1f</t>
  </si>
  <si>
    <t>1g</t>
  </si>
  <si>
    <t>1h</t>
  </si>
  <si>
    <t>1i</t>
  </si>
  <si>
    <t>1j</t>
  </si>
  <si>
    <t>1k</t>
  </si>
  <si>
    <t>1l</t>
  </si>
  <si>
    <t>2a</t>
  </si>
  <si>
    <t>La identificación de cambios en su entorno que pueden generar consecuencias negativas en su gestión</t>
  </si>
  <si>
    <t>2b</t>
  </si>
  <si>
    <t>La identificación de aquellos problemas o aspectos que pueden afectar el cumplimiento de los planes de la entidad y en general su gestión institucional (riesgos)</t>
  </si>
  <si>
    <t>2c</t>
  </si>
  <si>
    <t>La identificación  de los riesgos relacionados con posibles actos de corrupción en el ejercicio de sus funciones</t>
  </si>
  <si>
    <t>2d</t>
  </si>
  <si>
    <t>3a</t>
  </si>
  <si>
    <t>3b</t>
  </si>
  <si>
    <t>3c</t>
  </si>
  <si>
    <t>4a</t>
  </si>
  <si>
    <t>4b</t>
  </si>
  <si>
    <t>4c</t>
  </si>
  <si>
    <t>5a</t>
  </si>
  <si>
    <t>5b</t>
  </si>
  <si>
    <t>5c</t>
  </si>
  <si>
    <t>5d</t>
  </si>
  <si>
    <t>5e</t>
  </si>
  <si>
    <t>6a</t>
  </si>
  <si>
    <t>6b</t>
  </si>
  <si>
    <t>6c</t>
  </si>
  <si>
    <t>6d</t>
  </si>
  <si>
    <t>6e</t>
  </si>
  <si>
    <t>El jefe de control interno o quien haga sus veces, ha podido evidenciar si en la entidad si el manejo que se ha hecho a los problemas que afectan el cumplimiento de sus metas y objetivos (riesgos) le ha permitido:</t>
  </si>
  <si>
    <t>6f</t>
  </si>
  <si>
    <t>6g</t>
  </si>
  <si>
    <t>7a</t>
  </si>
  <si>
    <t>7d</t>
  </si>
  <si>
    <t>7f</t>
  </si>
  <si>
    <t>7g</t>
  </si>
  <si>
    <t>8h</t>
  </si>
  <si>
    <t>9a</t>
  </si>
  <si>
    <t>9b</t>
  </si>
  <si>
    <t>9c</t>
  </si>
  <si>
    <t>9d</t>
  </si>
  <si>
    <t>9e</t>
  </si>
  <si>
    <r>
      <t>Los procesos de inducción están documentados en el procedimiento SITUACIONES ADMINISTRATIVAS Código: SG-110- PD-036 del 10/04/2013 Numeral a) Servicio Activo (Vinculación)  actividad 12.</t>
    </r>
    <r>
      <rPr>
        <sz val="11"/>
        <color rgb="FFFF0000"/>
        <rFont val="Arial Narrow"/>
        <family val="2"/>
      </rPr>
      <t xml:space="preserve"> </t>
    </r>
    <r>
      <rPr>
        <sz val="11"/>
        <rFont val="Arial Narrow"/>
        <family val="2"/>
      </rPr>
      <t xml:space="preserve"> (actualmente, está en ajustes) </t>
    </r>
  </si>
  <si>
    <r>
      <rPr>
        <sz val="11"/>
        <color rgb="FF000000"/>
        <rFont val="Arial Narrow"/>
      </rPr>
      <t xml:space="preserve">En relación con lo dispuesto en el Decreto 612 de 2018, que establece las directrices para la integración de los planes institucionales y estratégicos al Plan de Acción de las entidades del Estado, 
A 19 de Diciembre de 2025 con base en seguimeinto realizado por la Ofiicna Asesora de Planeación y reportado por correo electrónico a CI,  la entidad contaba con  Plan Estratégico Institucional 2023-2026,  Plan de Acción Anual 2025,  Plan Anual de Adquisiciones (última versión de junio de 2025), Plan Estratégico de Talento Humano, Plan de Bienestar e Incentivos, Plan Institucional de Capacitación,  Plan de Seguridad y Salud en el Trabajo (publicado como Cronograma del Plan de SST), el Cronograma del Plan Institucional de Gestión Ambiental,  Plan Institucional de Archivos PINAR 2025 (Versión No. 3), Programa de Gestión Documental - PGD 2023-2026, el Plan de Conservación Documental, el Plan Anual de Vacantes, Plan Anual de Auditorías. Plan de Austeridad en el Gasto.
Por su parte, no se encuentraban  publicados los siguientes Planes: Plan Estratégico de Tecnología de la Información y la Comunicación, el Plan de Seguridad y Privacidad de la Información, </t>
    </r>
    <r>
      <rPr>
        <sz val="11"/>
        <rFont val="Arial Narrow"/>
        <family val="2"/>
      </rPr>
      <t xml:space="preserve">el Plan de Previsión de Recursos Humanos, </t>
    </r>
    <r>
      <rPr>
        <sz val="11"/>
        <color rgb="FF000000"/>
        <rFont val="Arial Narrow"/>
      </rPr>
      <t>Plan de Tratamiento de Riesgos de Seguridad y Privacidad de la Información, Plan de Anticorrupción y de Atención al Ciudadano; este último está en construcción, puesto que la entidad está en transición hacia el Programa de Transparencia. 
En la fecha mecionada, se solicitó realizar  ajustes a los planes pendientes y publicación en la Paginade la entidad, acción que no se pudo confirmar porque la entidad no cuenta con Pagina Web desde</t>
    </r>
    <r>
      <rPr>
        <sz val="11"/>
        <color rgb="FFFF0000"/>
        <rFont val="Arial Narrow"/>
      </rPr>
      <t xml:space="preserve"> </t>
    </r>
    <r>
      <rPr>
        <sz val="11"/>
        <rFont val="Arial Narrow"/>
        <family val="2"/>
      </rPr>
      <t>31 diciembre de 2025</t>
    </r>
    <r>
      <rPr>
        <sz val="11"/>
        <color rgb="FF000000"/>
        <rFont val="Arial Narrow"/>
      </rPr>
      <t xml:space="preserve">. 
</t>
    </r>
    <r>
      <rPr>
        <sz val="11"/>
        <color rgb="FFFF0000"/>
        <rFont val="Arial Narrow"/>
      </rPr>
      <t xml:space="preserve">
</t>
    </r>
  </si>
  <si>
    <r>
      <t>Durante el segundo semestre de 2025 se realizan</t>
    </r>
    <r>
      <rPr>
        <sz val="11"/>
        <color rgb="FFFF0000"/>
        <rFont val="Arial Narrow"/>
        <family val="2"/>
      </rPr>
      <t xml:space="preserve"> </t>
    </r>
    <r>
      <rPr>
        <sz val="11"/>
        <rFont val="Arial Narrow"/>
        <family val="2"/>
      </rPr>
      <t>6</t>
    </r>
    <r>
      <rPr>
        <sz val="11"/>
        <color rgb="FFFF0000"/>
        <rFont val="Arial Narrow"/>
        <family val="2"/>
      </rPr>
      <t xml:space="preserve">  </t>
    </r>
    <r>
      <rPr>
        <sz val="11"/>
        <rFont val="Arial Narrow"/>
        <family val="2"/>
      </rPr>
      <t>procesos de desvinculación según informo la dependencia de Gestion Humana, de dichos procesos el area aporto una de las resoluciones correspondiente a la desvinculacion de JAIR ANDRES URREGO REYES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</si>
</sst>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8" x14ac:knownFonts="1">
    <font>
      <sz val="11"/>
      <color theme="1"/>
      <name val="Calibri"/>
      <family val="2"/>
      <scheme val="minor"/>
    </font>
    <font>
      <sz val="11"/>
      <name val="Arial"/>
      <family val="2"/>
    </font>
    <font>
      <b/>
      <sz val="12"/>
      <name val="Arial"/>
      <family val="2"/>
    </font>
    <font>
      <sz val="11"/>
      <color theme="1"/>
      <name val="Calibri"/>
      <family val="2"/>
      <scheme val="minor"/>
    </font>
    <font>
      <sz val="11"/>
      <color theme="0"/>
      <name val="Calibri"/>
      <family val="2"/>
      <scheme val="minor"/>
    </font>
    <font>
      <b/>
      <sz val="12"/>
      <color theme="0"/>
      <name val="Arial"/>
      <family val="2"/>
    </font>
    <font>
      <b/>
      <sz val="20"/>
      <color theme="0"/>
      <name val="Arial Narrow"/>
      <family val="2"/>
    </font>
    <font>
      <sz val="11"/>
      <color theme="1"/>
      <name val="Arial Narrow"/>
      <family val="2"/>
    </font>
    <font>
      <sz val="11"/>
      <color theme="0"/>
      <name val="Arial Narrow"/>
      <family val="2"/>
    </font>
    <font>
      <b/>
      <sz val="18"/>
      <color theme="0"/>
      <name val="Arial"/>
      <family val="2"/>
    </font>
    <font>
      <sz val="20"/>
      <color rgb="FFFF0000"/>
      <name val="Arial"/>
      <family val="2"/>
    </font>
    <font>
      <b/>
      <sz val="12"/>
      <color rgb="FFFF0000"/>
      <name val="Arial"/>
      <family val="2"/>
    </font>
    <font>
      <b/>
      <sz val="10"/>
      <color rgb="FFFF0000"/>
      <name val="Arial"/>
      <family val="2"/>
    </font>
    <font>
      <b/>
      <sz val="10"/>
      <color theme="1"/>
      <name val="Arial"/>
      <family val="2"/>
    </font>
    <font>
      <b/>
      <sz val="16"/>
      <color theme="1"/>
      <name val="Arial"/>
      <family val="2"/>
    </font>
    <font>
      <b/>
      <i/>
      <sz val="10"/>
      <name val="Arial"/>
      <family val="2"/>
    </font>
    <font>
      <b/>
      <i/>
      <sz val="10"/>
      <color theme="1"/>
      <name val="Arial"/>
      <family val="2"/>
    </font>
    <font>
      <b/>
      <sz val="16"/>
      <color theme="0"/>
      <name val="Arial Narrow"/>
      <family val="2"/>
    </font>
    <font>
      <b/>
      <sz val="12"/>
      <color theme="0"/>
      <name val="Arial Narrow"/>
      <family val="2"/>
    </font>
    <font>
      <b/>
      <sz val="10"/>
      <color theme="0"/>
      <name val="Arial Narrow"/>
      <family val="2"/>
    </font>
    <font>
      <sz val="12"/>
      <color theme="1"/>
      <name val="Arial"/>
      <family val="2"/>
    </font>
    <font>
      <sz val="10"/>
      <color theme="1"/>
      <name val="Calibri"/>
      <family val="2"/>
      <scheme val="minor"/>
    </font>
    <font>
      <sz val="10"/>
      <color theme="0"/>
      <name val="Arial Narrow"/>
      <family val="2"/>
    </font>
    <font>
      <sz val="14"/>
      <color theme="0"/>
      <name val="Arial"/>
      <family val="2"/>
    </font>
    <font>
      <sz val="10"/>
      <color theme="1"/>
      <name val="Arial Narrow"/>
      <family val="2"/>
    </font>
    <font>
      <b/>
      <sz val="11"/>
      <name val="Arial Narrow"/>
      <family val="2"/>
    </font>
    <font>
      <sz val="10"/>
      <name val="Arial Narrow"/>
      <family val="2"/>
    </font>
    <font>
      <sz val="16"/>
      <color theme="0"/>
      <name val="Calibri"/>
      <family val="2"/>
      <scheme val="minor"/>
    </font>
    <font>
      <b/>
      <sz val="18"/>
      <name val="Calibri"/>
      <family val="2"/>
      <scheme val="minor"/>
    </font>
    <font>
      <sz val="10"/>
      <name val="Arial"/>
      <family val="2"/>
    </font>
    <font>
      <b/>
      <sz val="14"/>
      <name val="Arial Narrow"/>
      <family val="2"/>
    </font>
    <font>
      <b/>
      <u/>
      <sz val="11"/>
      <name val="Arial Narrow"/>
      <family val="2"/>
    </font>
    <font>
      <b/>
      <sz val="10"/>
      <name val="Arial Narrow"/>
      <family val="2"/>
    </font>
    <font>
      <sz val="12"/>
      <name val="Times New Roman"/>
      <family val="1"/>
    </font>
    <font>
      <b/>
      <sz val="9"/>
      <name val="Arial Narrow"/>
      <family val="2"/>
    </font>
    <font>
      <sz val="9"/>
      <name val="Arial Narrow"/>
      <family val="2"/>
    </font>
    <font>
      <sz val="11"/>
      <name val="Arial Narrow"/>
      <family val="2"/>
    </font>
    <font>
      <b/>
      <sz val="10"/>
      <color theme="1"/>
      <name val="Arial Narrow"/>
      <family val="2"/>
    </font>
    <font>
      <sz val="15"/>
      <name val="Arial Narrow"/>
      <family val="2"/>
    </font>
    <font>
      <sz val="15"/>
      <color theme="1"/>
      <name val="Arial Narrow"/>
      <family val="2"/>
    </font>
    <font>
      <sz val="8"/>
      <name val="Calibri"/>
      <family val="2"/>
      <scheme val="minor"/>
    </font>
    <font>
      <b/>
      <sz val="18"/>
      <color theme="1"/>
      <name val="Calibri"/>
      <family val="2"/>
      <scheme val="minor"/>
    </font>
    <font>
      <b/>
      <sz val="20"/>
      <name val="Arial"/>
      <family val="2"/>
    </font>
    <font>
      <sz val="18"/>
      <name val="Arial Narrow"/>
      <family val="2"/>
    </font>
    <font>
      <sz val="12"/>
      <color theme="0"/>
      <name val="Arial Narrow"/>
      <family val="2"/>
    </font>
    <font>
      <b/>
      <sz val="14"/>
      <color theme="0"/>
      <name val="Arial Narrow"/>
      <family val="2"/>
    </font>
    <font>
      <sz val="12"/>
      <name val="Arial Narrow"/>
      <family val="2"/>
    </font>
    <font>
      <sz val="12"/>
      <color theme="1"/>
      <name val="Arial Narrow"/>
      <family val="2"/>
    </font>
    <font>
      <sz val="14"/>
      <color theme="1"/>
      <name val="Calibri"/>
      <family val="2"/>
      <scheme val="minor"/>
    </font>
    <font>
      <b/>
      <sz val="14"/>
      <name val="Arial"/>
      <family val="2"/>
    </font>
    <font>
      <sz val="18"/>
      <color theme="1"/>
      <name val="Arial"/>
      <family val="2"/>
    </font>
    <font>
      <b/>
      <sz val="24"/>
      <color theme="0"/>
      <name val="Arial Narrow"/>
      <family val="2"/>
    </font>
    <font>
      <b/>
      <sz val="20"/>
      <color theme="0"/>
      <name val="Arial"/>
      <family val="2"/>
    </font>
    <font>
      <sz val="20"/>
      <color theme="1"/>
      <name val="Calibri"/>
      <family val="2"/>
      <scheme val="minor"/>
    </font>
    <font>
      <b/>
      <u/>
      <sz val="20"/>
      <color theme="0"/>
      <name val="Arial"/>
      <family val="2"/>
    </font>
    <font>
      <sz val="25"/>
      <color theme="1"/>
      <name val="Calibri"/>
      <family val="2"/>
      <scheme val="minor"/>
    </font>
    <font>
      <sz val="25"/>
      <color theme="1"/>
      <name val="Arial Narrow"/>
      <family val="2"/>
    </font>
    <font>
      <sz val="12"/>
      <name val="Arial"/>
      <family val="2"/>
    </font>
    <font>
      <sz val="11"/>
      <color rgb="FF000000"/>
      <name val="Arial Narrow"/>
    </font>
    <font>
      <sz val="11"/>
      <color rgb="FF0070C0"/>
      <name val="Arial Narrow"/>
    </font>
    <font>
      <sz val="11"/>
      <name val="Arial Narrow"/>
    </font>
    <font>
      <sz val="11"/>
      <color rgb="FFFF0000"/>
      <name val="Arial Narrow"/>
    </font>
    <font>
      <sz val="14"/>
      <color theme="1"/>
      <name val="Arial"/>
    </font>
    <font>
      <b/>
      <sz val="12"/>
      <color rgb="FF000000"/>
      <name val="Arial"/>
    </font>
    <font>
      <sz val="12"/>
      <color rgb="FF000000"/>
      <name val="Arial"/>
    </font>
    <font>
      <b/>
      <u/>
      <sz val="12"/>
      <color rgb="FF000000"/>
      <name val="Arial"/>
    </font>
    <font>
      <sz val="12"/>
      <color theme="1"/>
      <name val="Calibri"/>
      <family val="2"/>
      <scheme val="minor"/>
    </font>
    <font>
      <b/>
      <sz val="12"/>
      <color rgb="FF000000"/>
      <name val="Calibri"/>
      <scheme val="minor"/>
    </font>
    <font>
      <sz val="12"/>
      <color rgb="FF000000"/>
      <name val="Calibri"/>
      <scheme val="minor"/>
    </font>
    <font>
      <b/>
      <u/>
      <sz val="12"/>
      <color rgb="FF000000"/>
      <name val="Calibri"/>
      <scheme val="minor"/>
    </font>
    <font>
      <b/>
      <sz val="11"/>
      <color rgb="FF000000"/>
      <name val="Calibri"/>
      <scheme val="minor"/>
    </font>
    <font>
      <sz val="11"/>
      <color rgb="FF000000"/>
      <name val="Calibri"/>
      <scheme val="minor"/>
    </font>
    <font>
      <b/>
      <u/>
      <sz val="11"/>
      <color rgb="FF000000"/>
      <name val="Calibri"/>
      <scheme val="minor"/>
    </font>
    <font>
      <sz val="11"/>
      <color rgb="FF16365C"/>
      <name val="Arial Narrow"/>
    </font>
    <font>
      <sz val="11"/>
      <color rgb="FFFF0000"/>
      <name val="Arial Narrow"/>
      <family val="2"/>
    </font>
    <font>
      <sz val="11"/>
      <color rgb="FF000000"/>
      <name val="Arial Narrow"/>
      <family val="2"/>
    </font>
    <font>
      <sz val="11"/>
      <color rgb="FF0070C0"/>
      <name val="Arial Narrow"/>
      <family val="2"/>
    </font>
    <font>
      <sz val="14"/>
      <color rgb="FF000000"/>
      <name val="Arial"/>
      <family val="2"/>
    </font>
  </fonts>
  <fills count="17">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theme="4"/>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9" tint="0.39997558519241921"/>
        <bgColor indexed="64"/>
      </patternFill>
    </fill>
  </fills>
  <borders count="94">
    <border>
      <left/>
      <right/>
      <top/>
      <bottom/>
      <diagonal/>
    </border>
    <border>
      <left/>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auto="1"/>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bottom/>
      <diagonal/>
    </border>
    <border>
      <left style="hair">
        <color indexed="64"/>
      </left>
      <right style="medium">
        <color indexed="64"/>
      </right>
      <top style="hair">
        <color indexed="64"/>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right/>
      <top style="medium">
        <color indexed="64"/>
      </top>
      <bottom style="thin">
        <color indexed="64"/>
      </bottom>
      <diagonal/>
    </border>
    <border>
      <left style="dashed">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right/>
      <top style="dash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5">
    <xf numFmtId="0" fontId="0" fillId="0" borderId="0"/>
    <xf numFmtId="9" fontId="3" fillId="0" borderId="0" applyFont="0" applyFill="0" applyBorder="0" applyAlignment="0" applyProtection="0"/>
    <xf numFmtId="0" fontId="21" fillId="0" borderId="0"/>
    <xf numFmtId="0" fontId="29" fillId="0" borderId="0"/>
    <xf numFmtId="0" fontId="33" fillId="0" borderId="0"/>
  </cellStyleXfs>
  <cellXfs count="328">
    <xf numFmtId="0" fontId="0" fillId="0" borderId="0" xfId="0"/>
    <xf numFmtId="0" fontId="0" fillId="4" borderId="0" xfId="0" applyFill="1"/>
    <xf numFmtId="0" fontId="0" fillId="4" borderId="17" xfId="0" applyFill="1" applyBorder="1"/>
    <xf numFmtId="0" fontId="0" fillId="4" borderId="18" xfId="0" applyFill="1" applyBorder="1"/>
    <xf numFmtId="0" fontId="0" fillId="4" borderId="19" xfId="0" applyFill="1" applyBorder="1"/>
    <xf numFmtId="0" fontId="0" fillId="4" borderId="20" xfId="0" applyFill="1" applyBorder="1"/>
    <xf numFmtId="0" fontId="7" fillId="4" borderId="0" xfId="0" applyFont="1" applyFill="1" applyAlignment="1">
      <alignment horizontal="center"/>
    </xf>
    <xf numFmtId="0" fontId="0" fillId="4" borderId="21" xfId="0" applyFill="1" applyBorder="1"/>
    <xf numFmtId="164" fontId="7" fillId="4" borderId="0" xfId="0" applyNumberFormat="1" applyFont="1" applyFill="1" applyAlignment="1">
      <alignment horizontal="center"/>
    </xf>
    <xf numFmtId="0" fontId="8" fillId="4" borderId="0" xfId="0" applyFont="1" applyFill="1" applyAlignment="1">
      <alignment vertical="center"/>
    </xf>
    <xf numFmtId="0" fontId="10" fillId="4" borderId="0" xfId="0" applyFont="1" applyFill="1" applyAlignment="1">
      <alignment horizontal="center" vertical="center"/>
    </xf>
    <xf numFmtId="0" fontId="11" fillId="4" borderId="0" xfId="0" applyFont="1" applyFill="1"/>
    <xf numFmtId="0" fontId="9" fillId="4" borderId="0" xfId="0" applyFont="1" applyFill="1" applyAlignment="1">
      <alignment horizontal="center" vertical="center"/>
    </xf>
    <xf numFmtId="0" fontId="2" fillId="4" borderId="30" xfId="0" applyFont="1" applyFill="1" applyBorder="1" applyAlignment="1">
      <alignment horizontal="center" vertical="center"/>
    </xf>
    <xf numFmtId="0" fontId="2" fillId="4" borderId="0" xfId="0" applyFont="1" applyFill="1" applyAlignment="1">
      <alignment horizontal="center" vertical="center"/>
    </xf>
    <xf numFmtId="0" fontId="12" fillId="4" borderId="0" xfId="0" applyFont="1" applyFill="1" applyAlignment="1">
      <alignment wrapText="1"/>
    </xf>
    <xf numFmtId="0" fontId="13" fillId="4" borderId="0" xfId="0" applyFont="1" applyFill="1" applyAlignment="1">
      <alignment wrapText="1"/>
    </xf>
    <xf numFmtId="0" fontId="5" fillId="0" borderId="0" xfId="0" applyFont="1" applyAlignment="1">
      <alignment vertical="center"/>
    </xf>
    <xf numFmtId="9" fontId="2" fillId="0" borderId="0" xfId="0" applyNumberFormat="1" applyFont="1" applyAlignment="1">
      <alignment vertical="center"/>
    </xf>
    <xf numFmtId="0" fontId="2" fillId="4" borderId="21" xfId="0" applyFont="1" applyFill="1" applyBorder="1" applyAlignment="1">
      <alignment vertical="center"/>
    </xf>
    <xf numFmtId="0" fontId="2" fillId="4" borderId="0" xfId="0" applyFont="1" applyFill="1" applyAlignment="1">
      <alignment vertical="center"/>
    </xf>
    <xf numFmtId="0" fontId="0" fillId="0" borderId="3" xfId="0" applyBorder="1"/>
    <xf numFmtId="0" fontId="5" fillId="4" borderId="0" xfId="0" applyFont="1" applyFill="1" applyAlignment="1">
      <alignment vertical="center"/>
    </xf>
    <xf numFmtId="0" fontId="2" fillId="4" borderId="0" xfId="0" applyFont="1" applyFill="1" applyAlignment="1">
      <alignment horizontal="left" vertical="center"/>
    </xf>
    <xf numFmtId="0" fontId="15" fillId="4" borderId="0" xfId="0" applyFont="1" applyFill="1" applyAlignment="1">
      <alignment vertical="center"/>
    </xf>
    <xf numFmtId="0" fontId="16" fillId="4" borderId="0" xfId="0" applyFont="1" applyFill="1"/>
    <xf numFmtId="0" fontId="0" fillId="4" borderId="34" xfId="0" applyFill="1" applyBorder="1"/>
    <xf numFmtId="0" fontId="0" fillId="4" borderId="35" xfId="0" applyFill="1" applyBorder="1"/>
    <xf numFmtId="0" fontId="0" fillId="4" borderId="36" xfId="0" applyFill="1" applyBorder="1"/>
    <xf numFmtId="0" fontId="20" fillId="0" borderId="0" xfId="0" applyFont="1" applyAlignment="1">
      <alignment horizontal="center" wrapText="1"/>
    </xf>
    <xf numFmtId="0" fontId="5" fillId="4" borderId="0" xfId="0" applyFont="1" applyFill="1" applyAlignment="1">
      <alignment horizontal="center" vertical="center" wrapText="1"/>
    </xf>
    <xf numFmtId="0" fontId="4" fillId="4" borderId="0" xfId="0" applyFont="1" applyFill="1"/>
    <xf numFmtId="0" fontId="5" fillId="4" borderId="0" xfId="0" applyFont="1" applyFill="1" applyAlignment="1">
      <alignment horizontal="left" vertical="center"/>
    </xf>
    <xf numFmtId="9" fontId="5" fillId="4" borderId="0" xfId="0" applyNumberFormat="1" applyFont="1" applyFill="1" applyAlignment="1">
      <alignment horizontal="center" vertical="center"/>
    </xf>
    <xf numFmtId="0" fontId="4" fillId="4" borderId="0" xfId="0" applyFont="1" applyFill="1" applyAlignment="1">
      <alignment horizontal="left"/>
    </xf>
    <xf numFmtId="0" fontId="22" fillId="0" borderId="0" xfId="2" applyFont="1" applyAlignment="1" applyProtection="1">
      <alignment vertical="center"/>
      <protection locked="0"/>
    </xf>
    <xf numFmtId="49" fontId="24" fillId="4" borderId="0" xfId="2" applyNumberFormat="1" applyFont="1" applyFill="1" applyAlignment="1" applyProtection="1">
      <alignment vertical="center"/>
      <protection locked="0"/>
    </xf>
    <xf numFmtId="0" fontId="24" fillId="4" borderId="0" xfId="2" applyFont="1" applyFill="1" applyAlignment="1" applyProtection="1">
      <alignment vertical="center"/>
      <protection locked="0"/>
    </xf>
    <xf numFmtId="9" fontId="26" fillId="4" borderId="0" xfId="2" applyNumberFormat="1" applyFont="1" applyFill="1" applyAlignment="1" applyProtection="1">
      <alignment vertical="center"/>
      <protection locked="0"/>
    </xf>
    <xf numFmtId="9" fontId="22" fillId="4" borderId="0" xfId="1" applyFont="1" applyFill="1" applyAlignment="1" applyProtection="1">
      <alignment vertical="center"/>
      <protection locked="0"/>
    </xf>
    <xf numFmtId="9" fontId="22" fillId="4" borderId="0" xfId="2" applyNumberFormat="1" applyFont="1" applyFill="1" applyAlignment="1" applyProtection="1">
      <alignment vertical="center"/>
      <protection locked="0"/>
    </xf>
    <xf numFmtId="0" fontId="26" fillId="4" borderId="0" xfId="2" applyFont="1" applyFill="1" applyAlignment="1" applyProtection="1">
      <alignment vertical="center"/>
      <protection locked="0"/>
    </xf>
    <xf numFmtId="0" fontId="26" fillId="0" borderId="0" xfId="3" applyFont="1"/>
    <xf numFmtId="0" fontId="7" fillId="4" borderId="0" xfId="0" applyFont="1" applyFill="1"/>
    <xf numFmtId="0" fontId="7" fillId="0" borderId="0" xfId="0" applyFont="1"/>
    <xf numFmtId="0" fontId="36" fillId="0" borderId="0" xfId="0" applyFont="1" applyAlignment="1">
      <alignment vertical="top"/>
    </xf>
    <xf numFmtId="49" fontId="36" fillId="0" borderId="0" xfId="0" applyNumberFormat="1" applyFont="1" applyAlignment="1">
      <alignment horizontal="center" vertical="top"/>
    </xf>
    <xf numFmtId="0" fontId="22" fillId="4" borderId="0" xfId="2" applyFont="1" applyFill="1" applyAlignment="1" applyProtection="1">
      <alignment vertical="center"/>
      <protection locked="0"/>
    </xf>
    <xf numFmtId="0" fontId="26" fillId="4" borderId="0" xfId="3" applyFont="1" applyFill="1"/>
    <xf numFmtId="0" fontId="26" fillId="4" borderId="59" xfId="3" applyFont="1" applyFill="1" applyBorder="1" applyAlignment="1">
      <alignment vertical="top" wrapText="1"/>
    </xf>
    <xf numFmtId="0" fontId="26" fillId="4" borderId="0" xfId="3" applyFont="1" applyFill="1" applyAlignment="1">
      <alignment vertical="top" wrapText="1"/>
    </xf>
    <xf numFmtId="0" fontId="26" fillId="4" borderId="60" xfId="3" applyFont="1" applyFill="1" applyBorder="1" applyAlignment="1">
      <alignment vertical="top" wrapText="1"/>
    </xf>
    <xf numFmtId="0" fontId="26" fillId="4" borderId="59" xfId="3" applyFont="1" applyFill="1" applyBorder="1" applyAlignment="1">
      <alignment horizontal="left" vertical="top"/>
    </xf>
    <xf numFmtId="0" fontId="26" fillId="4" borderId="60" xfId="3" applyFont="1" applyFill="1" applyBorder="1" applyAlignment="1">
      <alignment horizontal="left" vertical="top"/>
    </xf>
    <xf numFmtId="0" fontId="26" fillId="4" borderId="59" xfId="3" applyFont="1" applyFill="1" applyBorder="1"/>
    <xf numFmtId="0" fontId="34" fillId="4" borderId="0" xfId="4" applyFont="1" applyFill="1" applyAlignment="1">
      <alignment horizontal="left" vertical="top" wrapText="1" readingOrder="1"/>
    </xf>
    <xf numFmtId="0" fontId="26" fillId="4" borderId="60" xfId="3" applyFont="1" applyFill="1" applyBorder="1"/>
    <xf numFmtId="0" fontId="26" fillId="4" borderId="72" xfId="3" applyFont="1" applyFill="1" applyBorder="1"/>
    <xf numFmtId="0" fontId="26" fillId="4" borderId="73" xfId="3" applyFont="1" applyFill="1" applyBorder="1"/>
    <xf numFmtId="0" fontId="26" fillId="4" borderId="74" xfId="3" applyFont="1" applyFill="1" applyBorder="1"/>
    <xf numFmtId="0" fontId="34" fillId="4" borderId="0" xfId="0" applyFont="1" applyFill="1" applyAlignment="1">
      <alignment horizontal="left" vertical="center" wrapText="1"/>
    </xf>
    <xf numFmtId="0" fontId="35" fillId="4" borderId="0" xfId="0" applyFont="1" applyFill="1" applyAlignment="1">
      <alignment horizontal="left" vertical="top" wrapText="1"/>
    </xf>
    <xf numFmtId="0" fontId="26" fillId="4" borderId="0" xfId="3" quotePrefix="1" applyFont="1" applyFill="1" applyAlignment="1">
      <alignment horizontal="left" vertical="center" wrapText="1"/>
    </xf>
    <xf numFmtId="0" fontId="32" fillId="4" borderId="0" xfId="3" applyFont="1" applyFill="1" applyAlignment="1">
      <alignment horizontal="left" vertical="center" wrapText="1"/>
    </xf>
    <xf numFmtId="0" fontId="26" fillId="4" borderId="0" xfId="3" applyFont="1" applyFill="1" applyAlignment="1">
      <alignment horizontal="left" vertical="center" wrapText="1"/>
    </xf>
    <xf numFmtId="0" fontId="7" fillId="4" borderId="0" xfId="0" applyFont="1" applyFill="1" applyAlignment="1">
      <alignment vertical="center"/>
    </xf>
    <xf numFmtId="0" fontId="7" fillId="0" borderId="0" xfId="0" applyFont="1" applyAlignment="1">
      <alignment vertical="center"/>
    </xf>
    <xf numFmtId="0" fontId="8" fillId="4" borderId="0" xfId="0" applyFont="1" applyFill="1"/>
    <xf numFmtId="0" fontId="8" fillId="0" borderId="0" xfId="0" applyFont="1" applyAlignment="1">
      <alignment vertical="top"/>
    </xf>
    <xf numFmtId="0" fontId="8" fillId="0" borderId="0" xfId="0" applyFont="1"/>
    <xf numFmtId="0" fontId="44" fillId="9" borderId="11" xfId="0" applyFont="1" applyFill="1" applyBorder="1" applyAlignment="1">
      <alignment horizontal="center" vertical="top" wrapText="1"/>
    </xf>
    <xf numFmtId="49" fontId="45" fillId="5" borderId="7" xfId="0" applyNumberFormat="1" applyFont="1" applyFill="1" applyBorder="1" applyAlignment="1">
      <alignment horizontal="center" vertical="center" wrapText="1"/>
    </xf>
    <xf numFmtId="0" fontId="45" fillId="5" borderId="7" xfId="0" applyFont="1" applyFill="1" applyBorder="1" applyAlignment="1">
      <alignment horizontal="center" vertical="center" wrapText="1"/>
    </xf>
    <xf numFmtId="0" fontId="45" fillId="5" borderId="10" xfId="0" applyFont="1" applyFill="1" applyBorder="1" applyAlignment="1">
      <alignment horizontal="center" vertical="center" wrapText="1"/>
    </xf>
    <xf numFmtId="0" fontId="45" fillId="5" borderId="5" xfId="0" applyFont="1" applyFill="1" applyBorder="1" applyAlignment="1">
      <alignment horizontal="center" vertical="center" wrapText="1"/>
    </xf>
    <xf numFmtId="0" fontId="46" fillId="0" borderId="2" xfId="0" applyFont="1" applyBorder="1" applyAlignment="1">
      <alignment horizontal="center" vertical="center" wrapText="1"/>
    </xf>
    <xf numFmtId="0" fontId="46" fillId="0" borderId="2" xfId="0" applyFont="1" applyBorder="1" applyAlignment="1">
      <alignment horizontal="left" vertical="center" wrapText="1"/>
    </xf>
    <xf numFmtId="0" fontId="46" fillId="0" borderId="3" xfId="0" applyFont="1" applyBorder="1" applyAlignment="1">
      <alignment horizontal="center" vertical="center" wrapText="1"/>
    </xf>
    <xf numFmtId="0" fontId="47" fillId="0" borderId="3" xfId="0" applyFont="1" applyBorder="1" applyAlignment="1">
      <alignment horizontal="left" vertical="center" wrapText="1"/>
    </xf>
    <xf numFmtId="0" fontId="46" fillId="0" borderId="3" xfId="0" applyFont="1" applyBorder="1" applyAlignment="1">
      <alignment horizontal="left" vertical="center" wrapText="1"/>
    </xf>
    <xf numFmtId="0" fontId="46" fillId="0" borderId="4" xfId="0" applyFont="1" applyBorder="1" applyAlignment="1">
      <alignment horizontal="center" vertical="center" wrapText="1"/>
    </xf>
    <xf numFmtId="0" fontId="46" fillId="0" borderId="4" xfId="0" applyFont="1" applyBorder="1" applyAlignment="1">
      <alignment horizontal="left" vertical="center" wrapText="1"/>
    </xf>
    <xf numFmtId="0" fontId="9" fillId="13" borderId="3" xfId="0" applyFont="1" applyFill="1" applyBorder="1" applyAlignment="1">
      <alignment horizontal="center" vertical="center" wrapText="1"/>
    </xf>
    <xf numFmtId="0" fontId="50" fillId="0" borderId="0" xfId="0" applyFont="1" applyAlignment="1">
      <alignment horizontal="center" wrapText="1"/>
    </xf>
    <xf numFmtId="0" fontId="9" fillId="15"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51" fillId="2" borderId="3" xfId="0" applyFont="1" applyFill="1" applyBorder="1" applyAlignment="1">
      <alignment horizontal="center" vertical="center"/>
    </xf>
    <xf numFmtId="0" fontId="42" fillId="0" borderId="3" xfId="0" applyFont="1" applyBorder="1" applyAlignment="1">
      <alignment horizontal="center" vertical="center"/>
    </xf>
    <xf numFmtId="0" fontId="53" fillId="0" borderId="0" xfId="0" applyFont="1" applyAlignment="1">
      <alignment horizontal="center"/>
    </xf>
    <xf numFmtId="0" fontId="52" fillId="12" borderId="31" xfId="0" applyFont="1" applyFill="1" applyBorder="1" applyAlignment="1">
      <alignment horizontal="center" vertical="center" wrapText="1"/>
    </xf>
    <xf numFmtId="0" fontId="42" fillId="0" borderId="0" xfId="0" applyFont="1" applyAlignment="1">
      <alignment horizontal="center" vertical="center" wrapText="1"/>
    </xf>
    <xf numFmtId="0" fontId="25" fillId="4" borderId="0" xfId="2" applyFont="1" applyFill="1" applyAlignment="1">
      <alignment vertical="center" wrapText="1"/>
    </xf>
    <xf numFmtId="0" fontId="35" fillId="4" borderId="0" xfId="2" applyFont="1" applyFill="1" applyAlignment="1">
      <alignment vertical="center" wrapText="1"/>
    </xf>
    <xf numFmtId="0" fontId="36" fillId="0" borderId="0" xfId="0" applyFont="1" applyAlignment="1" applyProtection="1">
      <alignment horizontal="center" vertical="top"/>
      <protection hidden="1"/>
    </xf>
    <xf numFmtId="0" fontId="38" fillId="0" borderId="79" xfId="0" applyFont="1" applyBorder="1" applyAlignment="1" applyProtection="1">
      <alignment horizontal="center" vertical="center" wrapText="1"/>
      <protection hidden="1"/>
    </xf>
    <xf numFmtId="0" fontId="8" fillId="0" borderId="0" xfId="0" applyFont="1" applyAlignment="1" applyProtection="1">
      <alignment horizontal="center" vertical="top"/>
      <protection hidden="1"/>
    </xf>
    <xf numFmtId="0" fontId="39" fillId="0" borderId="9" xfId="0" applyFont="1" applyBorder="1" applyAlignment="1" applyProtection="1">
      <alignment horizontal="center" vertical="center" wrapText="1"/>
      <protection hidden="1"/>
    </xf>
    <xf numFmtId="49" fontId="8" fillId="0" borderId="0" xfId="0" applyNumberFormat="1" applyFont="1" applyAlignment="1" applyProtection="1">
      <alignment horizontal="center" vertical="top"/>
      <protection hidden="1"/>
    </xf>
    <xf numFmtId="0" fontId="38" fillId="0" borderId="9" xfId="0" applyFont="1" applyBorder="1" applyAlignment="1" applyProtection="1">
      <alignment horizontal="center" vertical="center" wrapText="1"/>
      <protection hidden="1"/>
    </xf>
    <xf numFmtId="0" fontId="38" fillId="0" borderId="80" xfId="0" applyFont="1" applyBorder="1" applyAlignment="1" applyProtection="1">
      <alignment horizontal="center" vertical="center" wrapText="1"/>
      <protection hidden="1"/>
    </xf>
    <xf numFmtId="0" fontId="8" fillId="0" borderId="0" xfId="0" applyFont="1" applyAlignment="1" applyProtection="1">
      <alignment vertical="top"/>
      <protection hidden="1"/>
    </xf>
    <xf numFmtId="0" fontId="43" fillId="0" borderId="2" xfId="0" applyFont="1" applyBorder="1" applyAlignment="1" applyProtection="1">
      <alignment horizontal="center" vertical="center" wrapText="1"/>
      <protection locked="0"/>
    </xf>
    <xf numFmtId="0" fontId="36" fillId="0" borderId="79" xfId="0" applyFont="1" applyBorder="1" applyAlignment="1" applyProtection="1">
      <alignment horizontal="left" vertical="center" wrapText="1"/>
      <protection locked="0"/>
    </xf>
    <xf numFmtId="0" fontId="43" fillId="0" borderId="3" xfId="0" applyFont="1" applyBorder="1" applyAlignment="1" applyProtection="1">
      <alignment horizontal="center" vertical="center" wrapText="1"/>
      <protection locked="0"/>
    </xf>
    <xf numFmtId="0" fontId="36" fillId="0" borderId="9" xfId="0" applyFont="1" applyBorder="1" applyAlignment="1" applyProtection="1">
      <alignment horizontal="left" vertical="center" wrapText="1"/>
      <protection locked="0"/>
    </xf>
    <xf numFmtId="0" fontId="43" fillId="0" borderId="4" xfId="0" applyFont="1" applyBorder="1" applyAlignment="1" applyProtection="1">
      <alignment horizontal="center" vertical="center" wrapText="1"/>
      <protection locked="0"/>
    </xf>
    <xf numFmtId="0" fontId="36" fillId="0" borderId="80" xfId="0" applyFont="1" applyBorder="1" applyAlignment="1" applyProtection="1">
      <alignment horizontal="left" vertical="center" wrapText="1"/>
      <protection locked="0"/>
    </xf>
    <xf numFmtId="0" fontId="19" fillId="2" borderId="82" xfId="2" applyFont="1" applyFill="1" applyBorder="1" applyAlignment="1">
      <alignment horizontal="center" vertical="center"/>
    </xf>
    <xf numFmtId="0" fontId="19" fillId="2" borderId="82" xfId="2" applyFont="1" applyFill="1" applyBorder="1" applyAlignment="1">
      <alignment horizontal="center" vertical="center" wrapText="1"/>
    </xf>
    <xf numFmtId="0" fontId="1" fillId="0" borderId="2" xfId="0" applyFont="1" applyBorder="1" applyAlignment="1" applyProtection="1">
      <alignment horizontal="left" vertical="center" wrapText="1"/>
      <protection hidden="1"/>
    </xf>
    <xf numFmtId="0" fontId="0" fillId="0" borderId="2" xfId="0" applyBorder="1" applyAlignment="1" applyProtection="1">
      <alignment horizontal="center" vertical="center"/>
      <protection hidden="1"/>
    </xf>
    <xf numFmtId="0" fontId="40" fillId="0" borderId="84" xfId="0" applyFont="1" applyBorder="1" applyAlignment="1" applyProtection="1">
      <alignment vertical="center" wrapText="1"/>
      <protection hidden="1"/>
    </xf>
    <xf numFmtId="0" fontId="1" fillId="0" borderId="3" xfId="0" applyFont="1" applyBorder="1" applyAlignment="1" applyProtection="1">
      <alignment horizontal="left" vertical="center" wrapText="1"/>
      <protection hidden="1"/>
    </xf>
    <xf numFmtId="0" fontId="0" fillId="0" borderId="3" xfId="0" applyBorder="1" applyAlignment="1" applyProtection="1">
      <alignment horizontal="center" vertical="center"/>
      <protection hidden="1"/>
    </xf>
    <xf numFmtId="0" fontId="40" fillId="0" borderId="85" xfId="0" applyFont="1" applyBorder="1" applyAlignment="1" applyProtection="1">
      <alignment vertical="center" wrapText="1"/>
      <protection hidden="1"/>
    </xf>
    <xf numFmtId="0" fontId="1" fillId="0" borderId="4" xfId="0" applyFont="1" applyBorder="1" applyAlignment="1" applyProtection="1">
      <alignment horizontal="left" vertical="center" wrapText="1"/>
      <protection hidden="1"/>
    </xf>
    <xf numFmtId="0" fontId="0" fillId="0" borderId="4" xfId="0" applyBorder="1" applyAlignment="1" applyProtection="1">
      <alignment horizontal="center" vertical="center"/>
      <protection hidden="1"/>
    </xf>
    <xf numFmtId="0" fontId="40" fillId="0" borderId="86" xfId="0" applyFont="1" applyBorder="1" applyAlignment="1" applyProtection="1">
      <alignment vertical="center" wrapText="1"/>
      <protection hidden="1"/>
    </xf>
    <xf numFmtId="0" fontId="1" fillId="0" borderId="7" xfId="0" applyFont="1" applyBorder="1" applyAlignment="1" applyProtection="1">
      <alignment horizontal="left" vertical="center" wrapText="1"/>
      <protection hidden="1"/>
    </xf>
    <xf numFmtId="0" fontId="0" fillId="0" borderId="7" xfId="0" applyBorder="1" applyAlignment="1" applyProtection="1">
      <alignment horizontal="center" vertical="center"/>
      <protection hidden="1"/>
    </xf>
    <xf numFmtId="0" fontId="40" fillId="0" borderId="5" xfId="0" applyFont="1" applyBorder="1" applyAlignment="1" applyProtection="1">
      <alignment vertical="center" wrapText="1"/>
      <protection hidden="1"/>
    </xf>
    <xf numFmtId="0" fontId="1" fillId="0" borderId="6" xfId="0" applyFont="1" applyBorder="1" applyAlignment="1" applyProtection="1">
      <alignment horizontal="left" vertical="center" wrapText="1"/>
      <protection hidden="1"/>
    </xf>
    <xf numFmtId="0" fontId="0" fillId="0" borderId="6" xfId="0" applyBorder="1" applyAlignment="1" applyProtection="1">
      <alignment horizontal="center" vertical="center"/>
      <protection hidden="1"/>
    </xf>
    <xf numFmtId="0" fontId="40" fillId="0" borderId="6" xfId="0" applyFont="1" applyBorder="1" applyAlignment="1" applyProtection="1">
      <alignment vertical="center" wrapText="1"/>
      <protection hidden="1"/>
    </xf>
    <xf numFmtId="0" fontId="40" fillId="0" borderId="3" xfId="0" applyFont="1" applyBorder="1" applyAlignment="1" applyProtection="1">
      <alignment vertical="center" wrapText="1"/>
      <protection hidden="1"/>
    </xf>
    <xf numFmtId="0" fontId="40" fillId="0" borderId="7" xfId="0" applyFont="1" applyBorder="1" applyAlignment="1" applyProtection="1">
      <alignment vertical="center" wrapText="1"/>
      <protection hidden="1"/>
    </xf>
    <xf numFmtId="0" fontId="48" fillId="0" borderId="22" xfId="0" applyFont="1" applyBorder="1" applyAlignment="1" applyProtection="1">
      <alignment horizontal="center" vertical="center"/>
      <protection hidden="1"/>
    </xf>
    <xf numFmtId="9" fontId="0" fillId="0" borderId="90" xfId="0" applyNumberFormat="1" applyBorder="1" applyAlignment="1" applyProtection="1">
      <alignment horizontal="center" vertical="center"/>
      <protection hidden="1"/>
    </xf>
    <xf numFmtId="9" fontId="0" fillId="0" borderId="91" xfId="0" applyNumberFormat="1" applyBorder="1" applyAlignment="1" applyProtection="1">
      <alignment horizontal="center" vertical="center"/>
      <protection hidden="1"/>
    </xf>
    <xf numFmtId="9" fontId="0" fillId="0" borderId="92" xfId="0" applyNumberFormat="1" applyBorder="1" applyAlignment="1" applyProtection="1">
      <alignment horizontal="center" vertical="center"/>
      <protection hidden="1"/>
    </xf>
    <xf numFmtId="9" fontId="0" fillId="0" borderId="93" xfId="0" applyNumberFormat="1" applyBorder="1" applyAlignment="1" applyProtection="1">
      <alignment horizontal="center" vertical="center"/>
      <protection hidden="1"/>
    </xf>
    <xf numFmtId="9" fontId="0" fillId="0" borderId="6" xfId="0" applyNumberFormat="1" applyBorder="1" applyAlignment="1" applyProtection="1">
      <alignment horizontal="center" vertical="center"/>
      <protection hidden="1"/>
    </xf>
    <xf numFmtId="9" fontId="0" fillId="0" borderId="3" xfId="0" applyNumberFormat="1" applyBorder="1" applyAlignment="1" applyProtection="1">
      <alignment horizontal="center" vertical="center"/>
      <protection hidden="1"/>
    </xf>
    <xf numFmtId="9" fontId="0" fillId="0" borderId="7" xfId="0" applyNumberFormat="1" applyBorder="1" applyAlignment="1" applyProtection="1">
      <alignment horizontal="center" vertical="center"/>
      <protection hidden="1"/>
    </xf>
    <xf numFmtId="9" fontId="42" fillId="2" borderId="26" xfId="0" applyNumberFormat="1" applyFont="1" applyFill="1" applyBorder="1" applyAlignment="1" applyProtection="1">
      <alignment horizontal="center" vertical="center"/>
      <protection hidden="1"/>
    </xf>
    <xf numFmtId="0" fontId="42" fillId="0" borderId="3" xfId="0" applyFont="1" applyBorder="1" applyAlignment="1" applyProtection="1">
      <alignment horizontal="center" vertical="center"/>
      <protection hidden="1"/>
    </xf>
    <xf numFmtId="9" fontId="14" fillId="14" borderId="3" xfId="0" applyNumberFormat="1" applyFont="1" applyFill="1" applyBorder="1" applyAlignment="1" applyProtection="1">
      <alignment horizontal="center" vertical="center"/>
      <protection hidden="1"/>
    </xf>
    <xf numFmtId="49" fontId="55" fillId="4" borderId="2" xfId="0" applyNumberFormat="1" applyFont="1" applyFill="1" applyBorder="1" applyAlignment="1" applyProtection="1">
      <alignment horizontal="center" vertical="center" wrapText="1"/>
      <protection locked="0"/>
    </xf>
    <xf numFmtId="49" fontId="55" fillId="4" borderId="3" xfId="0" applyNumberFormat="1" applyFont="1" applyFill="1" applyBorder="1" applyAlignment="1" applyProtection="1">
      <alignment horizontal="center" vertical="center" wrapText="1"/>
      <protection locked="0"/>
    </xf>
    <xf numFmtId="49" fontId="55" fillId="4" borderId="4" xfId="0" applyNumberFormat="1" applyFont="1" applyFill="1" applyBorder="1" applyAlignment="1" applyProtection="1">
      <alignment horizontal="center" vertical="center" wrapText="1"/>
      <protection locked="0"/>
    </xf>
    <xf numFmtId="49" fontId="18" fillId="5" borderId="7" xfId="0" applyNumberFormat="1" applyFont="1" applyFill="1" applyBorder="1" applyAlignment="1" applyProtection="1">
      <alignment horizontal="center" vertical="center" wrapText="1"/>
      <protection hidden="1"/>
    </xf>
    <xf numFmtId="0" fontId="18" fillId="5" borderId="7" xfId="0" applyFont="1" applyFill="1" applyBorder="1" applyAlignment="1" applyProtection="1">
      <alignment horizontal="center" vertical="center" wrapText="1"/>
      <protection hidden="1"/>
    </xf>
    <xf numFmtId="0" fontId="18" fillId="5" borderId="10" xfId="0" applyFont="1" applyFill="1" applyBorder="1" applyAlignment="1" applyProtection="1">
      <alignment horizontal="center" vertical="center" wrapText="1"/>
      <protection hidden="1"/>
    </xf>
    <xf numFmtId="0" fontId="18" fillId="5" borderId="81" xfId="0" applyFont="1" applyFill="1" applyBorder="1" applyAlignment="1" applyProtection="1">
      <alignment horizontal="center" vertical="center" wrapText="1"/>
      <protection hidden="1"/>
    </xf>
    <xf numFmtId="0" fontId="0" fillId="0" borderId="0" xfId="0" applyProtection="1">
      <protection hidden="1"/>
    </xf>
    <xf numFmtId="9" fontId="0" fillId="0" borderId="0" xfId="1" applyFont="1" applyProtection="1">
      <protection hidden="1"/>
    </xf>
    <xf numFmtId="10" fontId="0" fillId="0" borderId="0" xfId="1" applyNumberFormat="1" applyFont="1" applyProtection="1">
      <protection hidden="1"/>
    </xf>
    <xf numFmtId="49" fontId="44" fillId="9" borderId="14" xfId="0" applyNumberFormat="1" applyFont="1" applyFill="1" applyBorder="1" applyAlignment="1">
      <alignment horizontal="center" vertical="center" wrapText="1"/>
    </xf>
    <xf numFmtId="49" fontId="44" fillId="9" borderId="11" xfId="0" applyNumberFormat="1" applyFont="1" applyFill="1" applyBorder="1" applyAlignment="1">
      <alignment horizontal="center" vertical="center" wrapText="1"/>
    </xf>
    <xf numFmtId="0" fontId="60" fillId="0" borderId="9" xfId="0" applyFont="1" applyBorder="1" applyAlignment="1" applyProtection="1">
      <alignment horizontal="left" vertical="center" wrapText="1"/>
      <protection locked="0"/>
    </xf>
    <xf numFmtId="0" fontId="60" fillId="0" borderId="80" xfId="0" applyFont="1" applyBorder="1" applyAlignment="1" applyProtection="1">
      <alignment horizontal="left" vertical="center" wrapText="1"/>
      <protection locked="0"/>
    </xf>
    <xf numFmtId="0" fontId="36" fillId="4" borderId="9" xfId="0" applyFont="1" applyFill="1" applyBorder="1" applyAlignment="1" applyProtection="1">
      <alignment horizontal="left" vertical="center" wrapText="1"/>
      <protection locked="0"/>
    </xf>
    <xf numFmtId="0" fontId="36" fillId="4" borderId="80" xfId="0" applyFont="1" applyFill="1" applyBorder="1" applyAlignment="1" applyProtection="1">
      <alignment horizontal="left" vertical="center" wrapText="1"/>
      <protection locked="0"/>
    </xf>
    <xf numFmtId="0" fontId="60" fillId="0" borderId="79" xfId="0" applyFont="1" applyBorder="1" applyAlignment="1" applyProtection="1">
      <alignment horizontal="left" vertical="center" wrapText="1"/>
      <protection locked="0"/>
    </xf>
    <xf numFmtId="0" fontId="36" fillId="0" borderId="79" xfId="0" applyFont="1" applyBorder="1" applyAlignment="1" applyProtection="1">
      <alignment horizontal="left" vertical="top" wrapText="1"/>
      <protection locked="0"/>
    </xf>
    <xf numFmtId="0" fontId="58" fillId="0" borderId="80" xfId="0" applyFont="1" applyBorder="1" applyAlignment="1" applyProtection="1">
      <alignment horizontal="left" vertical="center" wrapText="1"/>
      <protection locked="0"/>
    </xf>
    <xf numFmtId="0" fontId="75" fillId="4" borderId="9" xfId="0" applyFont="1" applyFill="1" applyBorder="1" applyAlignment="1" applyProtection="1">
      <alignment horizontal="left" vertical="center" wrapText="1"/>
      <protection locked="0"/>
    </xf>
    <xf numFmtId="0" fontId="75" fillId="0" borderId="79" xfId="0" applyFont="1" applyBorder="1" applyAlignment="1" applyProtection="1">
      <alignment horizontal="left" vertical="center" wrapText="1"/>
      <protection locked="0"/>
    </xf>
    <xf numFmtId="0" fontId="76" fillId="0" borderId="9" xfId="0" applyFont="1" applyBorder="1" applyAlignment="1" applyProtection="1">
      <alignment horizontal="left" vertical="center" wrapText="1"/>
      <protection locked="0"/>
    </xf>
    <xf numFmtId="0" fontId="30" fillId="0" borderId="58" xfId="3" applyFont="1" applyBorder="1" applyAlignment="1">
      <alignment horizontal="center" vertical="center" wrapText="1"/>
    </xf>
    <xf numFmtId="0" fontId="30" fillId="0" borderId="55" xfId="3" applyFont="1" applyBorder="1" applyAlignment="1">
      <alignment horizontal="center" vertical="center" wrapText="1"/>
    </xf>
    <xf numFmtId="0" fontId="30" fillId="0" borderId="8" xfId="3" applyFont="1" applyBorder="1" applyAlignment="1">
      <alignment horizontal="center" vertical="center" wrapText="1"/>
    </xf>
    <xf numFmtId="0" fontId="26" fillId="0" borderId="59" xfId="3" quotePrefix="1" applyFont="1" applyBorder="1" applyAlignment="1">
      <alignment horizontal="left" vertical="center" wrapText="1"/>
    </xf>
    <xf numFmtId="0" fontId="26" fillId="0" borderId="0" xfId="3" quotePrefix="1" applyFont="1" applyAlignment="1">
      <alignment horizontal="left" vertical="center" wrapText="1"/>
    </xf>
    <xf numFmtId="0" fontId="26" fillId="0" borderId="60" xfId="3" quotePrefix="1" applyFont="1" applyBorder="1" applyAlignment="1">
      <alignment horizontal="left" vertical="center" wrapText="1"/>
    </xf>
    <xf numFmtId="0" fontId="31" fillId="4" borderId="59" xfId="3" quotePrefix="1" applyFont="1" applyFill="1" applyBorder="1" applyAlignment="1">
      <alignment horizontal="left" vertical="top" wrapText="1"/>
    </xf>
    <xf numFmtId="0" fontId="25" fillId="4" borderId="0" xfId="3" quotePrefix="1" applyFont="1" applyFill="1" applyAlignment="1">
      <alignment horizontal="left" vertical="top" wrapText="1"/>
    </xf>
    <xf numFmtId="0" fontId="25" fillId="4" borderId="60" xfId="3" quotePrefix="1" applyFont="1" applyFill="1" applyBorder="1" applyAlignment="1">
      <alignment horizontal="left" vertical="top" wrapText="1"/>
    </xf>
    <xf numFmtId="0" fontId="26" fillId="4" borderId="59" xfId="3" quotePrefix="1" applyFont="1" applyFill="1" applyBorder="1" applyAlignment="1">
      <alignment horizontal="left" vertical="top" wrapText="1"/>
    </xf>
    <xf numFmtId="0" fontId="26" fillId="4" borderId="0" xfId="3" quotePrefix="1" applyFont="1" applyFill="1" applyAlignment="1">
      <alignment horizontal="left" vertical="top" wrapText="1"/>
    </xf>
    <xf numFmtId="0" fontId="26" fillId="4" borderId="60" xfId="3" quotePrefix="1" applyFont="1" applyFill="1" applyBorder="1" applyAlignment="1">
      <alignment horizontal="left" vertical="top" wrapText="1"/>
    </xf>
    <xf numFmtId="0" fontId="34" fillId="16" borderId="61" xfId="4" applyFont="1" applyFill="1" applyBorder="1" applyAlignment="1">
      <alignment horizontal="center" vertical="center" wrapText="1"/>
    </xf>
    <xf numFmtId="0" fontId="34" fillId="16" borderId="62" xfId="4" applyFont="1" applyFill="1" applyBorder="1" applyAlignment="1">
      <alignment horizontal="center" vertical="center" wrapText="1"/>
    </xf>
    <xf numFmtId="0" fontId="34" fillId="16" borderId="63" xfId="3" applyFont="1" applyFill="1" applyBorder="1" applyAlignment="1">
      <alignment horizontal="center" vertical="center"/>
    </xf>
    <xf numFmtId="0" fontId="34" fillId="16" borderId="64" xfId="3" applyFont="1" applyFill="1" applyBorder="1" applyAlignment="1">
      <alignment horizontal="center" vertical="center"/>
    </xf>
    <xf numFmtId="0" fontId="34" fillId="4" borderId="75" xfId="4" applyFont="1" applyFill="1" applyBorder="1" applyAlignment="1">
      <alignment horizontal="left" vertical="center" wrapText="1" readingOrder="1"/>
    </xf>
    <xf numFmtId="0" fontId="34" fillId="4" borderId="76" xfId="4" applyFont="1" applyFill="1" applyBorder="1" applyAlignment="1">
      <alignment horizontal="left" vertical="center" wrapText="1" readingOrder="1"/>
    </xf>
    <xf numFmtId="0" fontId="35" fillId="0" borderId="65" xfId="3" applyFont="1" applyBorder="1" applyAlignment="1">
      <alignment horizontal="left" vertical="center" wrapText="1"/>
    </xf>
    <xf numFmtId="0" fontId="35" fillId="0" borderId="66" xfId="3" applyFont="1" applyBorder="1" applyAlignment="1">
      <alignment horizontal="left" vertical="center" wrapText="1"/>
    </xf>
    <xf numFmtId="0" fontId="34" fillId="4" borderId="67" xfId="0" applyFont="1" applyFill="1" applyBorder="1" applyAlignment="1">
      <alignment horizontal="left" vertical="center" wrapText="1"/>
    </xf>
    <xf numFmtId="0" fontId="34" fillId="4" borderId="68" xfId="0" applyFont="1" applyFill="1" applyBorder="1" applyAlignment="1">
      <alignment horizontal="left" vertical="center" wrapText="1"/>
    </xf>
    <xf numFmtId="0" fontId="35" fillId="0" borderId="69" xfId="3" applyFont="1" applyBorder="1" applyAlignment="1">
      <alignment horizontal="left" vertical="center" wrapText="1"/>
    </xf>
    <xf numFmtId="0" fontId="35" fillId="0" borderId="70" xfId="3" applyFont="1" applyBorder="1" applyAlignment="1">
      <alignment horizontal="left" vertical="center" wrapText="1"/>
    </xf>
    <xf numFmtId="0" fontId="35" fillId="0" borderId="69" xfId="3" applyFont="1" applyBorder="1" applyAlignment="1">
      <alignment horizontal="left" vertical="top" wrapText="1"/>
    </xf>
    <xf numFmtId="0" fontId="35" fillId="0" borderId="70" xfId="3" applyFont="1" applyBorder="1" applyAlignment="1">
      <alignment horizontal="left" vertical="top" wrapText="1"/>
    </xf>
    <xf numFmtId="0" fontId="26" fillId="4" borderId="59" xfId="3" applyFont="1" applyFill="1" applyBorder="1" applyAlignment="1">
      <alignment horizontal="left" vertical="top" wrapText="1"/>
    </xf>
    <xf numFmtId="0" fontId="26" fillId="4" borderId="0" xfId="3" applyFont="1" applyFill="1" applyAlignment="1">
      <alignment horizontal="left" vertical="top" wrapText="1"/>
    </xf>
    <xf numFmtId="0" fontId="26" fillId="4" borderId="60" xfId="3" applyFont="1" applyFill="1" applyBorder="1" applyAlignment="1">
      <alignment horizontal="left" vertical="top" wrapText="1"/>
    </xf>
    <xf numFmtId="0" fontId="26" fillId="4" borderId="0" xfId="3" applyFont="1" applyFill="1"/>
    <xf numFmtId="0" fontId="34" fillId="4" borderId="77" xfId="0" applyFont="1" applyFill="1" applyBorder="1" applyAlignment="1">
      <alignment horizontal="left" vertical="center" wrapText="1"/>
    </xf>
    <xf numFmtId="0" fontId="34" fillId="4" borderId="78" xfId="0" applyFont="1" applyFill="1" applyBorder="1" applyAlignment="1">
      <alignment horizontal="left" vertical="center" wrapText="1"/>
    </xf>
    <xf numFmtId="0" fontId="17" fillId="2" borderId="44" xfId="2" applyFont="1" applyFill="1" applyBorder="1" applyAlignment="1">
      <alignment horizontal="center" vertical="center" wrapText="1"/>
    </xf>
    <xf numFmtId="0" fontId="17" fillId="2" borderId="45" xfId="2" applyFont="1" applyFill="1" applyBorder="1" applyAlignment="1">
      <alignment horizontal="center" vertical="center" wrapText="1"/>
    </xf>
    <xf numFmtId="0" fontId="25" fillId="7" borderId="50" xfId="2" applyFont="1" applyFill="1" applyBorder="1" applyAlignment="1">
      <alignment horizontal="center" vertical="center"/>
    </xf>
    <xf numFmtId="0" fontId="25" fillId="7" borderId="51" xfId="2" applyFont="1" applyFill="1" applyBorder="1" applyAlignment="1">
      <alignment horizontal="center" vertical="center"/>
    </xf>
    <xf numFmtId="0" fontId="26" fillId="0" borderId="56" xfId="2" applyFont="1" applyBorder="1" applyAlignment="1">
      <alignment horizontal="justify" vertical="center" wrapText="1"/>
    </xf>
    <xf numFmtId="0" fontId="26" fillId="0" borderId="57" xfId="2" applyFont="1" applyBorder="1" applyAlignment="1">
      <alignment horizontal="justify" vertical="center" wrapText="1"/>
    </xf>
    <xf numFmtId="0" fontId="25" fillId="8" borderId="52" xfId="2" applyFont="1" applyFill="1" applyBorder="1" applyAlignment="1">
      <alignment horizontal="center" vertical="center" wrapText="1"/>
    </xf>
    <xf numFmtId="0" fontId="25" fillId="8" borderId="53" xfId="2" applyFont="1" applyFill="1" applyBorder="1" applyAlignment="1">
      <alignment horizontal="center" vertical="center"/>
    </xf>
    <xf numFmtId="0" fontId="26" fillId="0" borderId="53" xfId="2" applyFont="1" applyBorder="1" applyAlignment="1">
      <alignment horizontal="justify" vertical="center" wrapText="1"/>
    </xf>
    <xf numFmtId="0" fontId="26" fillId="0" borderId="54" xfId="2" applyFont="1" applyBorder="1" applyAlignment="1">
      <alignment horizontal="justify" vertical="center" wrapText="1"/>
    </xf>
    <xf numFmtId="0" fontId="37" fillId="4" borderId="71" xfId="2" applyFont="1" applyFill="1" applyBorder="1" applyAlignment="1">
      <alignment horizontal="center" vertical="center" wrapText="1"/>
    </xf>
    <xf numFmtId="0" fontId="24" fillId="4" borderId="71" xfId="2" applyFont="1" applyFill="1" applyBorder="1" applyAlignment="1">
      <alignment horizontal="center" vertical="center" wrapText="1"/>
    </xf>
    <xf numFmtId="0" fontId="17" fillId="2" borderId="46" xfId="2" applyFont="1" applyFill="1" applyBorder="1" applyAlignment="1">
      <alignment horizontal="center" vertical="center" wrapText="1"/>
    </xf>
    <xf numFmtId="0" fontId="25" fillId="14" borderId="47" xfId="2" applyFont="1" applyFill="1" applyBorder="1" applyAlignment="1">
      <alignment horizontal="center" vertical="center"/>
    </xf>
    <xf numFmtId="0" fontId="25" fillId="14" borderId="48" xfId="2" applyFont="1" applyFill="1" applyBorder="1" applyAlignment="1">
      <alignment horizontal="center" vertical="center"/>
    </xf>
    <xf numFmtId="0" fontId="26" fillId="0" borderId="48" xfId="2" applyFont="1" applyBorder="1" applyAlignment="1">
      <alignment horizontal="justify" vertical="center" wrapText="1"/>
    </xf>
    <xf numFmtId="0" fontId="26" fillId="0" borderId="49" xfId="2" applyFont="1" applyBorder="1" applyAlignment="1">
      <alignment horizontal="justify" vertical="center" wrapText="1"/>
    </xf>
    <xf numFmtId="0" fontId="44" fillId="9" borderId="11" xfId="0" applyFont="1" applyFill="1" applyBorder="1" applyAlignment="1">
      <alignment horizontal="center" vertical="center" wrapText="1"/>
    </xf>
    <xf numFmtId="0" fontId="44" fillId="9" borderId="12" xfId="0" applyFont="1" applyFill="1" applyBorder="1" applyAlignment="1">
      <alignment horizontal="center" vertical="center" wrapText="1"/>
    </xf>
    <xf numFmtId="0" fontId="44" fillId="9" borderId="6" xfId="0" applyFont="1" applyFill="1" applyBorder="1" applyAlignment="1">
      <alignment horizontal="center" vertical="center" wrapText="1"/>
    </xf>
    <xf numFmtId="49" fontId="44" fillId="9" borderId="14" xfId="0" applyNumberFormat="1" applyFont="1" applyFill="1" applyBorder="1" applyAlignment="1">
      <alignment horizontal="center" vertical="center" wrapText="1"/>
    </xf>
    <xf numFmtId="49" fontId="44" fillId="9" borderId="15" xfId="0" applyNumberFormat="1" applyFont="1" applyFill="1" applyBorder="1" applyAlignment="1">
      <alignment horizontal="center" vertical="center" wrapText="1"/>
    </xf>
    <xf numFmtId="49" fontId="44" fillId="9" borderId="16" xfId="0" applyNumberFormat="1" applyFont="1" applyFill="1" applyBorder="1" applyAlignment="1">
      <alignment horizontal="center" vertical="center" wrapText="1"/>
    </xf>
    <xf numFmtId="49" fontId="44" fillId="6" borderId="11" xfId="0" applyNumberFormat="1" applyFont="1" applyFill="1" applyBorder="1" applyAlignment="1">
      <alignment horizontal="center" vertical="center" wrapText="1"/>
    </xf>
    <xf numFmtId="49" fontId="44" fillId="6" borderId="12" xfId="0" applyNumberFormat="1" applyFont="1" applyFill="1" applyBorder="1" applyAlignment="1">
      <alignment horizontal="center" vertical="center" wrapText="1"/>
    </xf>
    <xf numFmtId="49" fontId="44" fillId="6" borderId="13" xfId="0" applyNumberFormat="1" applyFont="1" applyFill="1" applyBorder="1" applyAlignment="1">
      <alignment horizontal="center" vertical="center" wrapText="1"/>
    </xf>
    <xf numFmtId="49" fontId="44" fillId="10" borderId="11" xfId="0" applyNumberFormat="1" applyFont="1" applyFill="1" applyBorder="1" applyAlignment="1">
      <alignment horizontal="center" vertical="center" wrapText="1"/>
    </xf>
    <xf numFmtId="49" fontId="44" fillId="10" borderId="12" xfId="0" applyNumberFormat="1" applyFont="1" applyFill="1" applyBorder="1" applyAlignment="1">
      <alignment horizontal="center" vertical="center" wrapText="1"/>
    </xf>
    <xf numFmtId="49" fontId="44" fillId="10" borderId="13" xfId="0" applyNumberFormat="1" applyFont="1" applyFill="1" applyBorder="1" applyAlignment="1">
      <alignment horizontal="center" vertical="center" wrapText="1"/>
    </xf>
    <xf numFmtId="49" fontId="44" fillId="2" borderId="11" xfId="0" applyNumberFormat="1" applyFont="1" applyFill="1" applyBorder="1" applyAlignment="1">
      <alignment horizontal="center" vertical="center" wrapText="1"/>
    </xf>
    <xf numFmtId="49" fontId="44" fillId="2" borderId="12" xfId="0" applyNumberFormat="1" applyFont="1" applyFill="1" applyBorder="1" applyAlignment="1">
      <alignment horizontal="center" vertical="center" wrapText="1"/>
    </xf>
    <xf numFmtId="49" fontId="44" fillId="2" borderId="13" xfId="0" applyNumberFormat="1" applyFont="1" applyFill="1" applyBorder="1" applyAlignment="1">
      <alignment horizontal="center" vertical="center" wrapText="1"/>
    </xf>
    <xf numFmtId="49" fontId="44" fillId="11" borderId="11" xfId="0" applyNumberFormat="1" applyFont="1" applyFill="1" applyBorder="1" applyAlignment="1">
      <alignment horizontal="center" vertical="center" wrapText="1"/>
    </xf>
    <xf numFmtId="49" fontId="44" fillId="11" borderId="12" xfId="0" applyNumberFormat="1" applyFont="1" applyFill="1" applyBorder="1" applyAlignment="1">
      <alignment horizontal="center" vertical="center" wrapText="1"/>
    </xf>
    <xf numFmtId="49" fontId="44" fillId="11" borderId="13" xfId="0" applyNumberFormat="1" applyFont="1" applyFill="1" applyBorder="1" applyAlignment="1">
      <alignment horizontal="center" vertical="center" wrapText="1"/>
    </xf>
    <xf numFmtId="49" fontId="44" fillId="9" borderId="11" xfId="0" applyNumberFormat="1" applyFont="1" applyFill="1" applyBorder="1" applyAlignment="1">
      <alignment horizontal="center" vertical="center" wrapText="1"/>
    </xf>
    <xf numFmtId="49" fontId="44" fillId="9" borderId="12" xfId="0" applyNumberFormat="1" applyFont="1" applyFill="1" applyBorder="1" applyAlignment="1">
      <alignment horizontal="center" vertical="center" wrapText="1"/>
    </xf>
    <xf numFmtId="49" fontId="44" fillId="9" borderId="13" xfId="0" applyNumberFormat="1" applyFont="1" applyFill="1" applyBorder="1" applyAlignment="1">
      <alignment horizontal="center" vertical="center" wrapText="1"/>
    </xf>
    <xf numFmtId="49" fontId="44" fillId="10" borderId="3" xfId="0" applyNumberFormat="1" applyFont="1" applyFill="1" applyBorder="1" applyAlignment="1">
      <alignment horizontal="center" vertical="center" wrapText="1"/>
    </xf>
    <xf numFmtId="0" fontId="44" fillId="10" borderId="3" xfId="0" applyFont="1" applyFill="1" applyBorder="1" applyAlignment="1">
      <alignment horizontal="center" vertical="center" wrapText="1"/>
    </xf>
    <xf numFmtId="49" fontId="44" fillId="10" borderId="15" xfId="0" applyNumberFormat="1" applyFont="1" applyFill="1" applyBorder="1" applyAlignment="1">
      <alignment horizontal="center" vertical="center" wrapText="1"/>
    </xf>
    <xf numFmtId="0" fontId="44" fillId="10" borderId="12" xfId="0" applyFont="1" applyFill="1" applyBorder="1" applyAlignment="1">
      <alignment horizontal="center" vertical="center" wrapText="1"/>
    </xf>
    <xf numFmtId="49" fontId="44" fillId="2" borderId="14" xfId="0" applyNumberFormat="1" applyFont="1" applyFill="1" applyBorder="1" applyAlignment="1">
      <alignment horizontal="center" vertical="center" wrapText="1"/>
    </xf>
    <xf numFmtId="49" fontId="44" fillId="2" borderId="15" xfId="0" applyNumberFormat="1" applyFont="1" applyFill="1" applyBorder="1" applyAlignment="1">
      <alignment horizontal="center" vertical="center" wrapText="1"/>
    </xf>
    <xf numFmtId="49" fontId="44" fillId="2" borderId="16" xfId="0" applyNumberFormat="1" applyFont="1" applyFill="1" applyBorder="1" applyAlignment="1">
      <alignment horizontal="center" vertical="center" wrapText="1"/>
    </xf>
    <xf numFmtId="0" fontId="44" fillId="2" borderId="11" xfId="0" applyFont="1" applyFill="1" applyBorder="1" applyAlignment="1">
      <alignment horizontal="center" vertical="center" wrapText="1"/>
    </xf>
    <xf numFmtId="0" fontId="44" fillId="2" borderId="12" xfId="0" applyFont="1" applyFill="1" applyBorder="1" applyAlignment="1">
      <alignment horizontal="center" vertical="center" wrapText="1"/>
    </xf>
    <xf numFmtId="0" fontId="44" fillId="2" borderId="13" xfId="0" applyFont="1" applyFill="1" applyBorder="1" applyAlignment="1">
      <alignment horizontal="center" vertical="center" wrapText="1"/>
    </xf>
    <xf numFmtId="49" fontId="45" fillId="5" borderId="0" xfId="0" applyNumberFormat="1" applyFont="1" applyFill="1" applyAlignment="1">
      <alignment horizontal="center" vertical="center"/>
    </xf>
    <xf numFmtId="0" fontId="44" fillId="11" borderId="11" xfId="0" applyFont="1" applyFill="1" applyBorder="1" applyAlignment="1">
      <alignment horizontal="center" vertical="center" wrapText="1"/>
    </xf>
    <xf numFmtId="0" fontId="44" fillId="11" borderId="12" xfId="0" applyFont="1" applyFill="1" applyBorder="1" applyAlignment="1">
      <alignment horizontal="center" vertical="center" wrapText="1"/>
    </xf>
    <xf numFmtId="0" fontId="44" fillId="11" borderId="13" xfId="0" applyFont="1" applyFill="1" applyBorder="1" applyAlignment="1">
      <alignment horizontal="center" vertical="center" wrapText="1"/>
    </xf>
    <xf numFmtId="49" fontId="44" fillId="11" borderId="14" xfId="0" applyNumberFormat="1" applyFont="1" applyFill="1" applyBorder="1" applyAlignment="1">
      <alignment horizontal="center" vertical="center" wrapText="1"/>
    </xf>
    <xf numFmtId="49" fontId="44" fillId="11" borderId="15" xfId="0" applyNumberFormat="1" applyFont="1" applyFill="1" applyBorder="1" applyAlignment="1">
      <alignment horizontal="center" vertical="center" wrapText="1"/>
    </xf>
    <xf numFmtId="49" fontId="44" fillId="11" borderId="16" xfId="0" applyNumberFormat="1" applyFont="1" applyFill="1" applyBorder="1" applyAlignment="1">
      <alignment horizontal="center" vertical="center" wrapText="1"/>
    </xf>
    <xf numFmtId="0" fontId="44" fillId="9" borderId="13" xfId="0" applyFont="1" applyFill="1" applyBorder="1" applyAlignment="1">
      <alignment horizontal="center" vertical="center" wrapText="1"/>
    </xf>
    <xf numFmtId="0" fontId="44" fillId="6" borderId="11" xfId="0" applyFont="1" applyFill="1" applyBorder="1" applyAlignment="1">
      <alignment horizontal="center" vertical="center" wrapText="1"/>
    </xf>
    <xf numFmtId="0" fontId="44" fillId="6" borderId="12" xfId="0" applyFont="1" applyFill="1" applyBorder="1" applyAlignment="1">
      <alignment horizontal="center" vertical="center" wrapText="1"/>
    </xf>
    <xf numFmtId="0" fontId="44" fillId="6" borderId="13" xfId="0" applyFont="1" applyFill="1" applyBorder="1" applyAlignment="1">
      <alignment horizontal="center" vertical="center" wrapText="1"/>
    </xf>
    <xf numFmtId="49" fontId="8" fillId="6" borderId="14" xfId="0" applyNumberFormat="1" applyFont="1" applyFill="1" applyBorder="1" applyAlignment="1">
      <alignment horizontal="center" vertical="center" wrapText="1"/>
    </xf>
    <xf numFmtId="49" fontId="8" fillId="6" borderId="15" xfId="0" applyNumberFormat="1" applyFont="1" applyFill="1" applyBorder="1" applyAlignment="1">
      <alignment horizontal="center" vertical="center" wrapText="1"/>
    </xf>
    <xf numFmtId="49" fontId="8" fillId="6" borderId="16" xfId="0" applyNumberFormat="1" applyFont="1" applyFill="1" applyBorder="1" applyAlignment="1">
      <alignment horizontal="center" vertical="center" wrapText="1"/>
    </xf>
    <xf numFmtId="49" fontId="8" fillId="10" borderId="14" xfId="0" applyNumberFormat="1" applyFont="1" applyFill="1" applyBorder="1" applyAlignment="1">
      <alignment horizontal="center" vertical="center" wrapText="1"/>
    </xf>
    <xf numFmtId="49" fontId="8" fillId="10" borderId="15" xfId="0" applyNumberFormat="1" applyFont="1" applyFill="1" applyBorder="1" applyAlignment="1">
      <alignment horizontal="center" vertical="center" wrapText="1"/>
    </xf>
    <xf numFmtId="49" fontId="8" fillId="10" borderId="16" xfId="0" applyNumberFormat="1" applyFont="1" applyFill="1" applyBorder="1" applyAlignment="1">
      <alignment horizontal="center" vertical="center" wrapText="1"/>
    </xf>
    <xf numFmtId="0" fontId="44" fillId="10" borderId="11" xfId="0" applyFont="1" applyFill="1" applyBorder="1" applyAlignment="1">
      <alignment horizontal="center" vertical="center" wrapText="1"/>
    </xf>
    <xf numFmtId="0" fontId="44" fillId="10" borderId="13" xfId="0" applyFont="1" applyFill="1" applyBorder="1" applyAlignment="1">
      <alignment horizontal="center" vertical="center" wrapText="1"/>
    </xf>
    <xf numFmtId="9" fontId="41" fillId="0" borderId="87" xfId="0" applyNumberFormat="1" applyFont="1" applyBorder="1" applyAlignment="1" applyProtection="1">
      <alignment horizontal="center" vertical="center"/>
      <protection hidden="1"/>
    </xf>
    <xf numFmtId="9" fontId="41" fillId="0" borderId="88" xfId="0" applyNumberFormat="1" applyFont="1" applyBorder="1" applyAlignment="1" applyProtection="1">
      <alignment horizontal="center" vertical="center"/>
      <protection hidden="1"/>
    </xf>
    <xf numFmtId="9" fontId="28" fillId="7" borderId="84" xfId="1" applyFont="1" applyFill="1" applyBorder="1" applyAlignment="1" applyProtection="1">
      <alignment horizontal="center" vertical="center"/>
      <protection hidden="1"/>
    </xf>
    <xf numFmtId="9" fontId="28" fillId="7" borderId="85" xfId="1" applyFont="1" applyFill="1" applyBorder="1" applyAlignment="1" applyProtection="1">
      <alignment horizontal="center" vertical="center"/>
      <protection hidden="1"/>
    </xf>
    <xf numFmtId="9" fontId="28" fillId="7" borderId="86" xfId="1" applyFont="1" applyFill="1" applyBorder="1" applyAlignment="1" applyProtection="1">
      <alignment horizontal="center" vertical="center"/>
      <protection hidden="1"/>
    </xf>
    <xf numFmtId="0" fontId="27" fillId="9" borderId="14" xfId="0" applyFont="1" applyFill="1" applyBorder="1" applyAlignment="1">
      <alignment horizontal="center" vertical="center" textRotation="90"/>
    </xf>
    <xf numFmtId="0" fontId="27" fillId="9" borderId="15" xfId="0" applyFont="1" applyFill="1" applyBorder="1" applyAlignment="1">
      <alignment horizontal="center" vertical="center" textRotation="90"/>
    </xf>
    <xf numFmtId="0" fontId="27" fillId="9" borderId="16" xfId="0" applyFont="1" applyFill="1" applyBorder="1" applyAlignment="1">
      <alignment horizontal="center" vertical="center" textRotation="90"/>
    </xf>
    <xf numFmtId="9" fontId="41" fillId="4" borderId="87" xfId="0" applyNumberFormat="1" applyFont="1" applyFill="1" applyBorder="1" applyAlignment="1" applyProtection="1">
      <alignment horizontal="center" vertical="center"/>
      <protection hidden="1"/>
    </xf>
    <xf numFmtId="9" fontId="41" fillId="4" borderId="88" xfId="0" applyNumberFormat="1" applyFont="1" applyFill="1" applyBorder="1" applyAlignment="1" applyProtection="1">
      <alignment horizontal="center" vertical="center"/>
      <protection hidden="1"/>
    </xf>
    <xf numFmtId="9" fontId="41" fillId="4" borderId="89" xfId="0" applyNumberFormat="1" applyFont="1" applyFill="1" applyBorder="1" applyAlignment="1" applyProtection="1">
      <alignment horizontal="center" vertical="center"/>
      <protection hidden="1"/>
    </xf>
    <xf numFmtId="0" fontId="27" fillId="11" borderId="15" xfId="0" applyFont="1" applyFill="1" applyBorder="1" applyAlignment="1">
      <alignment horizontal="center" vertical="center" textRotation="90"/>
    </xf>
    <xf numFmtId="0" fontId="27" fillId="2" borderId="14" xfId="0" applyFont="1" applyFill="1" applyBorder="1" applyAlignment="1">
      <alignment horizontal="center" vertical="center" textRotation="90"/>
    </xf>
    <xf numFmtId="0" fontId="27" fillId="2" borderId="15" xfId="0" applyFont="1" applyFill="1" applyBorder="1" applyAlignment="1">
      <alignment horizontal="center" vertical="center" textRotation="90"/>
    </xf>
    <xf numFmtId="0" fontId="27" fillId="2" borderId="16" xfId="0" applyFont="1" applyFill="1" applyBorder="1" applyAlignment="1">
      <alignment horizontal="center" vertical="center" textRotation="90"/>
    </xf>
    <xf numFmtId="9" fontId="41" fillId="0" borderId="89" xfId="0" applyNumberFormat="1" applyFont="1" applyBorder="1" applyAlignment="1" applyProtection="1">
      <alignment horizontal="center" vertical="center"/>
      <protection hidden="1"/>
    </xf>
    <xf numFmtId="0" fontId="27" fillId="10" borderId="14" xfId="0" applyFont="1" applyFill="1" applyBorder="1" applyAlignment="1">
      <alignment horizontal="center" vertical="center" textRotation="90"/>
    </xf>
    <xf numFmtId="0" fontId="27" fillId="10" borderId="15" xfId="0" applyFont="1" applyFill="1" applyBorder="1" applyAlignment="1">
      <alignment horizontal="center" vertical="center" textRotation="90"/>
    </xf>
    <xf numFmtId="0" fontId="19" fillId="3" borderId="32" xfId="2" applyFont="1" applyFill="1" applyBorder="1" applyAlignment="1">
      <alignment horizontal="center" vertical="center" wrapText="1"/>
    </xf>
    <xf numFmtId="0" fontId="19" fillId="3" borderId="33" xfId="2" applyFont="1" applyFill="1" applyBorder="1" applyAlignment="1">
      <alignment horizontal="center" vertical="center" wrapText="1"/>
    </xf>
    <xf numFmtId="0" fontId="23" fillId="6" borderId="14" xfId="0" applyFont="1" applyFill="1" applyBorder="1" applyAlignment="1">
      <alignment horizontal="center" vertical="center" textRotation="90" wrapText="1"/>
    </xf>
    <xf numFmtId="0" fontId="23" fillId="6" borderId="15" xfId="0" applyFont="1" applyFill="1" applyBorder="1" applyAlignment="1">
      <alignment horizontal="center" vertical="center" textRotation="90" wrapText="1"/>
    </xf>
    <xf numFmtId="0" fontId="23" fillId="6" borderId="16" xfId="0" applyFont="1" applyFill="1" applyBorder="1" applyAlignment="1">
      <alignment horizontal="center" vertical="center" textRotation="90" wrapText="1"/>
    </xf>
    <xf numFmtId="0" fontId="19" fillId="2" borderId="37" xfId="2" applyFont="1" applyFill="1" applyBorder="1" applyAlignment="1">
      <alignment horizontal="center" vertical="center" wrapText="1"/>
    </xf>
    <xf numFmtId="0" fontId="19" fillId="2" borderId="83" xfId="2" applyFont="1" applyFill="1" applyBorder="1" applyAlignment="1">
      <alignment horizontal="center" vertical="center" wrapText="1"/>
    </xf>
    <xf numFmtId="0" fontId="19" fillId="2" borderId="38" xfId="2" applyFont="1" applyFill="1" applyBorder="1" applyAlignment="1">
      <alignment horizontal="center" vertical="center" wrapText="1"/>
    </xf>
    <xf numFmtId="0" fontId="19" fillId="2" borderId="39" xfId="2" applyFont="1" applyFill="1" applyBorder="1" applyAlignment="1">
      <alignment horizontal="center" vertical="center" wrapText="1"/>
    </xf>
    <xf numFmtId="0" fontId="19" fillId="2" borderId="40" xfId="2" applyFont="1" applyFill="1" applyBorder="1" applyAlignment="1">
      <alignment horizontal="center" vertical="center" wrapText="1"/>
    </xf>
    <xf numFmtId="0" fontId="19" fillId="2" borderId="42" xfId="2" applyFont="1" applyFill="1" applyBorder="1" applyAlignment="1">
      <alignment horizontal="center" vertical="center" wrapText="1"/>
    </xf>
    <xf numFmtId="0" fontId="19" fillId="2" borderId="41" xfId="2" applyFont="1" applyFill="1" applyBorder="1" applyAlignment="1">
      <alignment horizontal="center" vertical="center" wrapText="1"/>
    </xf>
    <xf numFmtId="0" fontId="19" fillId="2" borderId="43" xfId="2" applyFont="1" applyFill="1" applyBorder="1" applyAlignment="1">
      <alignment horizontal="center" vertical="center" wrapText="1"/>
    </xf>
    <xf numFmtId="0" fontId="6" fillId="2" borderId="24"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5" xfId="0" applyFont="1" applyFill="1" applyBorder="1" applyAlignment="1">
      <alignment horizontal="center" vertical="center"/>
    </xf>
    <xf numFmtId="49" fontId="49" fillId="4" borderId="91" xfId="0" applyNumberFormat="1" applyFont="1" applyFill="1" applyBorder="1" applyAlignment="1">
      <alignment horizontal="left" vertical="center" wrapText="1"/>
    </xf>
    <xf numFmtId="49" fontId="49" fillId="4" borderId="3" xfId="0" applyNumberFormat="1" applyFont="1" applyFill="1" applyBorder="1" applyAlignment="1">
      <alignment horizontal="left" vertical="center" wrapText="1"/>
    </xf>
    <xf numFmtId="49" fontId="49" fillId="4" borderId="92" xfId="0" applyNumberFormat="1" applyFont="1" applyFill="1" applyBorder="1" applyAlignment="1">
      <alignment horizontal="left" vertical="center" wrapText="1"/>
    </xf>
    <xf numFmtId="49" fontId="49" fillId="4" borderId="4" xfId="0" applyNumberFormat="1" applyFont="1" applyFill="1" applyBorder="1" applyAlignment="1">
      <alignment horizontal="left" vertical="center" wrapText="1"/>
    </xf>
    <xf numFmtId="0" fontId="51" fillId="2" borderId="7" xfId="0" applyFont="1" applyFill="1" applyBorder="1" applyAlignment="1">
      <alignment horizontal="center" vertical="center" wrapText="1"/>
    </xf>
    <xf numFmtId="0" fontId="51" fillId="2" borderId="6" xfId="0" applyFont="1" applyFill="1" applyBorder="1" applyAlignment="1">
      <alignment horizontal="center" vertical="center" wrapText="1"/>
    </xf>
    <xf numFmtId="0" fontId="56" fillId="4" borderId="3" xfId="0" applyFont="1" applyFill="1" applyBorder="1" applyAlignment="1" applyProtection="1">
      <alignment horizontal="center" vertical="center"/>
      <protection locked="0"/>
    </xf>
    <xf numFmtId="164" fontId="56" fillId="4" borderId="22" xfId="0" applyNumberFormat="1" applyFont="1" applyFill="1" applyBorder="1" applyAlignment="1" applyProtection="1">
      <alignment horizontal="center" vertical="center"/>
      <protection locked="0"/>
    </xf>
    <xf numFmtId="164" fontId="56" fillId="4" borderId="23" xfId="0" applyNumberFormat="1" applyFont="1" applyFill="1" applyBorder="1" applyAlignment="1" applyProtection="1">
      <alignment horizontal="center" vertical="center"/>
      <protection locked="0"/>
    </xf>
    <xf numFmtId="164" fontId="56" fillId="4" borderId="9" xfId="0" applyNumberFormat="1" applyFont="1" applyFill="1" applyBorder="1" applyAlignment="1" applyProtection="1">
      <alignment horizontal="center" vertical="center"/>
      <protection locked="0"/>
    </xf>
    <xf numFmtId="0" fontId="52" fillId="2" borderId="24" xfId="0" applyFont="1" applyFill="1" applyBorder="1" applyAlignment="1">
      <alignment horizontal="center" vertical="center" wrapText="1"/>
    </xf>
    <xf numFmtId="0" fontId="52" fillId="2" borderId="1" xfId="0" applyFont="1" applyFill="1" applyBorder="1" applyAlignment="1">
      <alignment horizontal="center" vertical="center" wrapText="1"/>
    </xf>
    <xf numFmtId="0" fontId="52" fillId="2" borderId="25" xfId="0" applyFont="1" applyFill="1" applyBorder="1" applyAlignment="1">
      <alignment horizontal="center" vertical="center" wrapText="1"/>
    </xf>
    <xf numFmtId="0" fontId="9" fillId="2" borderId="27"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29" xfId="0" applyFont="1" applyFill="1" applyBorder="1" applyAlignment="1">
      <alignment horizontal="center" vertical="center"/>
    </xf>
    <xf numFmtId="49" fontId="49" fillId="4" borderId="90" xfId="0" applyNumberFormat="1" applyFont="1" applyFill="1" applyBorder="1" applyAlignment="1">
      <alignment horizontal="left" vertical="center" wrapText="1"/>
    </xf>
    <xf numFmtId="49" fontId="49" fillId="4" borderId="2" xfId="0" applyNumberFormat="1" applyFont="1" applyFill="1" applyBorder="1" applyAlignment="1">
      <alignment horizontal="left" vertical="center" wrapText="1"/>
    </xf>
    <xf numFmtId="49" fontId="77" fillId="4" borderId="2" xfId="0" applyNumberFormat="1" applyFont="1" applyFill="1" applyBorder="1" applyAlignment="1" applyProtection="1">
      <alignment horizontal="left" vertical="top" wrapText="1"/>
      <protection locked="0"/>
    </xf>
    <xf numFmtId="49" fontId="0" fillId="4" borderId="2" xfId="0" applyNumberFormat="1" applyFill="1" applyBorder="1" applyAlignment="1" applyProtection="1">
      <alignment horizontal="left" vertical="top" wrapText="1"/>
      <protection locked="0"/>
    </xf>
    <xf numFmtId="49" fontId="0" fillId="4" borderId="84" xfId="0" applyNumberFormat="1" applyFill="1" applyBorder="1" applyAlignment="1" applyProtection="1">
      <alignment horizontal="left" vertical="top" wrapText="1"/>
      <protection locked="0"/>
    </xf>
    <xf numFmtId="49" fontId="62" fillId="4" borderId="2" xfId="0" applyNumberFormat="1" applyFont="1" applyFill="1" applyBorder="1" applyAlignment="1" applyProtection="1">
      <alignment horizontal="left" vertical="top" wrapText="1"/>
      <protection locked="0"/>
    </xf>
    <xf numFmtId="0" fontId="71" fillId="0" borderId="24" xfId="0" applyFont="1" applyBorder="1" applyAlignment="1" applyProtection="1">
      <alignment horizontal="left" wrapText="1"/>
      <protection locked="0"/>
    </xf>
    <xf numFmtId="0" fontId="0" fillId="0" borderId="1" xfId="0" applyBorder="1" applyAlignment="1" applyProtection="1">
      <alignment horizontal="left"/>
      <protection locked="0"/>
    </xf>
    <xf numFmtId="0" fontId="0" fillId="0" borderId="25" xfId="0" applyBorder="1" applyAlignment="1" applyProtection="1">
      <alignment horizontal="left"/>
      <protection locked="0"/>
    </xf>
    <xf numFmtId="0" fontId="52" fillId="12" borderId="0" xfId="0" applyFont="1" applyFill="1" applyAlignment="1">
      <alignment horizontal="center" vertical="center" wrapText="1"/>
    </xf>
    <xf numFmtId="0" fontId="64" fillId="0" borderId="24" xfId="0" applyFont="1" applyBorder="1" applyAlignment="1" applyProtection="1">
      <alignment horizontal="left" vertical="center" wrapText="1"/>
      <protection locked="0"/>
    </xf>
    <xf numFmtId="0" fontId="57" fillId="0" borderId="1" xfId="0" applyFont="1" applyBorder="1" applyAlignment="1" applyProtection="1">
      <alignment horizontal="left" vertical="center"/>
      <protection locked="0"/>
    </xf>
    <xf numFmtId="0" fontId="57" fillId="0" borderId="25" xfId="0" applyFont="1" applyBorder="1" applyAlignment="1" applyProtection="1">
      <alignment horizontal="left" vertical="center"/>
      <protection locked="0"/>
    </xf>
    <xf numFmtId="0" fontId="68" fillId="0" borderId="24" xfId="0" applyFont="1" applyBorder="1" applyAlignment="1" applyProtection="1">
      <alignment horizontal="left" wrapText="1"/>
      <protection locked="0"/>
    </xf>
    <xf numFmtId="0" fontId="66" fillId="0" borderId="1" xfId="0" applyFont="1" applyBorder="1" applyAlignment="1" applyProtection="1">
      <alignment horizontal="left"/>
      <protection locked="0"/>
    </xf>
    <xf numFmtId="0" fontId="66" fillId="0" borderId="25" xfId="0" applyFont="1" applyBorder="1" applyAlignment="1" applyProtection="1">
      <alignment horizontal="left"/>
      <protection locked="0"/>
    </xf>
    <xf numFmtId="0" fontId="0" fillId="0" borderId="73" xfId="0" applyBorder="1" applyAlignment="1">
      <alignment horizontal="center"/>
    </xf>
    <xf numFmtId="0" fontId="0" fillId="0" borderId="1" xfId="0" applyBorder="1" applyAlignment="1">
      <alignment horizontal="center"/>
    </xf>
  </cellXfs>
  <cellStyles count="5">
    <cellStyle name="Normal" xfId="0" builtinId="0"/>
    <cellStyle name="Normal - Style1 2" xfId="3" xr:uid="{00000000-0005-0000-0000-000001000000}"/>
    <cellStyle name="Normal 2" xfId="2" xr:uid="{00000000-0005-0000-0000-000002000000}"/>
    <cellStyle name="Normal 2 2" xfId="4" xr:uid="{00000000-0005-0000-0000-000003000000}"/>
    <cellStyle name="Porcentaje" xfId="1" builtinId="5"/>
  </cellStyles>
  <dxfs count="20">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1050132</xdr:colOff>
      <xdr:row>0</xdr:row>
      <xdr:rowOff>66818</xdr:rowOff>
    </xdr:from>
    <xdr:to>
      <xdr:col>7</xdr:col>
      <xdr:colOff>726282</xdr:colOff>
      <xdr:row>11</xdr:row>
      <xdr:rowOff>47624</xdr:rowOff>
    </xdr:to>
    <xdr:pic>
      <xdr:nvPicPr>
        <xdr:cNvPr id="2" name="Imagen 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7169945" y="66818"/>
          <a:ext cx="3676650" cy="23382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281667</xdr:colOff>
      <xdr:row>7</xdr:row>
      <xdr:rowOff>102768</xdr:rowOff>
    </xdr:from>
    <xdr:to>
      <xdr:col>6</xdr:col>
      <xdr:colOff>595313</xdr:colOff>
      <xdr:row>14</xdr:row>
      <xdr:rowOff>55289</xdr:rowOff>
    </xdr:to>
    <xdr:pic>
      <xdr:nvPicPr>
        <xdr:cNvPr id="4" name="Imagen 3">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4567917" y="2037534"/>
          <a:ext cx="3959935" cy="23486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stitutonacionalparaciegos.sharepoint.com/Users/dell/Desktop/cesar/HISTORICOS/2020-04-22_Formato_informe_sci_parametrizado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Resultado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4"/>
  <sheetViews>
    <sheetView zoomScale="90" zoomScaleNormal="90" workbookViewId="0">
      <selection activeCell="B6" sqref="B6:H7"/>
    </sheetView>
  </sheetViews>
  <sheetFormatPr baseColWidth="10" defaultColWidth="0" defaultRowHeight="12.75" zeroHeight="1" x14ac:dyDescent="0.2"/>
  <cols>
    <col min="1" max="1" width="3.85546875" style="42" customWidth="1"/>
    <col min="2" max="2" width="15.28515625" style="42" customWidth="1"/>
    <col min="3" max="3" width="17.28515625" style="42" customWidth="1"/>
    <col min="4" max="4" width="28.5703125" style="42" customWidth="1"/>
    <col min="5" max="5" width="12.85546875" style="42" customWidth="1"/>
    <col min="6" max="6" width="47.140625" style="42" customWidth="1"/>
    <col min="7" max="7" width="21.42578125" style="42" customWidth="1"/>
    <col min="8" max="8" width="6.5703125" style="42" customWidth="1"/>
    <col min="9" max="9" width="2.5703125" style="42" customWidth="1"/>
    <col min="10" max="16384" width="11.42578125" style="42" hidden="1"/>
  </cols>
  <sheetData>
    <row r="1" spans="2:8" ht="13.5" thickBot="1" x14ac:dyDescent="0.25"/>
    <row r="2" spans="2:8" ht="73.5" customHeight="1" x14ac:dyDescent="0.2">
      <c r="B2" s="161" t="s">
        <v>0</v>
      </c>
      <c r="C2" s="162"/>
      <c r="D2" s="162"/>
      <c r="E2" s="162"/>
      <c r="F2" s="162"/>
      <c r="G2" s="162"/>
      <c r="H2" s="163"/>
    </row>
    <row r="3" spans="2:8" ht="65.25" customHeight="1" x14ac:dyDescent="0.2">
      <c r="B3" s="164" t="s">
        <v>1</v>
      </c>
      <c r="C3" s="165"/>
      <c r="D3" s="165"/>
      <c r="E3" s="165"/>
      <c r="F3" s="165"/>
      <c r="G3" s="165"/>
      <c r="H3" s="166"/>
    </row>
    <row r="4" spans="2:8" ht="82.5" customHeight="1" x14ac:dyDescent="0.2">
      <c r="B4" s="164"/>
      <c r="C4" s="165"/>
      <c r="D4" s="165"/>
      <c r="E4" s="165"/>
      <c r="F4" s="165"/>
      <c r="G4" s="165"/>
      <c r="H4" s="166"/>
    </row>
    <row r="5" spans="2:8" ht="21.75" customHeight="1" x14ac:dyDescent="0.2">
      <c r="B5" s="167" t="s">
        <v>2</v>
      </c>
      <c r="C5" s="168"/>
      <c r="D5" s="168"/>
      <c r="E5" s="168"/>
      <c r="F5" s="168"/>
      <c r="G5" s="168"/>
      <c r="H5" s="169"/>
    </row>
    <row r="6" spans="2:8" ht="42" customHeight="1" x14ac:dyDescent="0.2">
      <c r="B6" s="170" t="s">
        <v>3</v>
      </c>
      <c r="C6" s="171"/>
      <c r="D6" s="171"/>
      <c r="E6" s="171"/>
      <c r="F6" s="171"/>
      <c r="G6" s="171"/>
      <c r="H6" s="172"/>
    </row>
    <row r="7" spans="2:8" ht="14.25" customHeight="1" x14ac:dyDescent="0.2">
      <c r="B7" s="170"/>
      <c r="C7" s="171"/>
      <c r="D7" s="171"/>
      <c r="E7" s="171"/>
      <c r="F7" s="171"/>
      <c r="G7" s="171"/>
      <c r="H7" s="172"/>
    </row>
    <row r="8" spans="2:8" ht="12.75" customHeight="1" thickBot="1" x14ac:dyDescent="0.25">
      <c r="B8" s="54"/>
      <c r="C8" s="48"/>
      <c r="D8" s="63"/>
      <c r="E8" s="64"/>
      <c r="F8" s="64"/>
      <c r="G8" s="62"/>
      <c r="H8" s="56"/>
    </row>
    <row r="9" spans="2:8" ht="21" customHeight="1" thickTop="1" x14ac:dyDescent="0.2">
      <c r="B9" s="54"/>
      <c r="C9" s="173" t="s">
        <v>4</v>
      </c>
      <c r="D9" s="174"/>
      <c r="E9" s="175" t="s">
        <v>5</v>
      </c>
      <c r="F9" s="176"/>
      <c r="G9" s="48"/>
      <c r="H9" s="56"/>
    </row>
    <row r="10" spans="2:8" ht="37.5" customHeight="1" x14ac:dyDescent="0.2">
      <c r="B10" s="54"/>
      <c r="C10" s="177" t="s">
        <v>6</v>
      </c>
      <c r="D10" s="178"/>
      <c r="E10" s="179" t="s">
        <v>7</v>
      </c>
      <c r="F10" s="180"/>
      <c r="G10" s="48"/>
      <c r="H10" s="56"/>
    </row>
    <row r="11" spans="2:8" ht="39.75" customHeight="1" x14ac:dyDescent="0.2">
      <c r="B11" s="54"/>
      <c r="C11" s="181" t="s">
        <v>8</v>
      </c>
      <c r="D11" s="182"/>
      <c r="E11" s="183" t="s">
        <v>9</v>
      </c>
      <c r="F11" s="184"/>
      <c r="G11" s="48"/>
      <c r="H11" s="56"/>
    </row>
    <row r="12" spans="2:8" ht="59.25" customHeight="1" x14ac:dyDescent="0.2">
      <c r="B12" s="54"/>
      <c r="C12" s="181" t="s">
        <v>10</v>
      </c>
      <c r="D12" s="182"/>
      <c r="E12" s="185" t="s">
        <v>11</v>
      </c>
      <c r="F12" s="186"/>
      <c r="G12" s="48"/>
      <c r="H12" s="56"/>
    </row>
    <row r="13" spans="2:8" ht="33.75" customHeight="1" x14ac:dyDescent="0.2">
      <c r="B13" s="54"/>
      <c r="C13" s="191" t="s">
        <v>12</v>
      </c>
      <c r="D13" s="192"/>
      <c r="E13" s="183" t="s">
        <v>13</v>
      </c>
      <c r="F13" s="184"/>
      <c r="G13" s="48"/>
      <c r="H13" s="56"/>
    </row>
    <row r="14" spans="2:8" ht="19.5" customHeight="1" x14ac:dyDescent="0.2">
      <c r="B14" s="54"/>
      <c r="C14" s="60"/>
      <c r="D14" s="60"/>
      <c r="E14" s="61"/>
      <c r="F14" s="61"/>
      <c r="G14" s="48"/>
      <c r="H14" s="56"/>
    </row>
    <row r="15" spans="2:8" ht="37.5" customHeight="1" thickBot="1" x14ac:dyDescent="0.25">
      <c r="B15" s="187" t="s">
        <v>14</v>
      </c>
      <c r="C15" s="188"/>
      <c r="D15" s="188"/>
      <c r="E15" s="188"/>
      <c r="F15" s="188"/>
      <c r="G15" s="188"/>
      <c r="H15" s="189"/>
    </row>
    <row r="16" spans="2:8" ht="27.75" customHeight="1" thickBot="1" x14ac:dyDescent="0.25">
      <c r="B16" s="54"/>
      <c r="C16" s="193" t="s">
        <v>15</v>
      </c>
      <c r="D16" s="194"/>
      <c r="E16" s="194" t="s">
        <v>16</v>
      </c>
      <c r="F16" s="205"/>
      <c r="G16" s="48"/>
      <c r="H16" s="56"/>
    </row>
    <row r="17" spans="2:8" ht="27.75" customHeight="1" x14ac:dyDescent="0.2">
      <c r="B17" s="54"/>
      <c r="C17" s="206" t="s">
        <v>17</v>
      </c>
      <c r="D17" s="207"/>
      <c r="E17" s="208" t="s">
        <v>18</v>
      </c>
      <c r="F17" s="209"/>
      <c r="G17" s="93"/>
      <c r="H17" s="56"/>
    </row>
    <row r="18" spans="2:8" ht="41.25" customHeight="1" x14ac:dyDescent="0.2">
      <c r="B18" s="54"/>
      <c r="C18" s="195" t="s">
        <v>19</v>
      </c>
      <c r="D18" s="196"/>
      <c r="E18" s="197" t="s">
        <v>20</v>
      </c>
      <c r="F18" s="198"/>
      <c r="G18" s="94"/>
      <c r="H18" s="56"/>
    </row>
    <row r="19" spans="2:8" ht="37.5" customHeight="1" thickBot="1" x14ac:dyDescent="0.25">
      <c r="B19" s="54"/>
      <c r="C19" s="199" t="s">
        <v>21</v>
      </c>
      <c r="D19" s="200"/>
      <c r="E19" s="201" t="s">
        <v>22</v>
      </c>
      <c r="F19" s="202"/>
      <c r="G19" s="94"/>
      <c r="H19" s="56"/>
    </row>
    <row r="20" spans="2:8" ht="11.25" customHeight="1" x14ac:dyDescent="0.2">
      <c r="B20" s="49"/>
      <c r="C20" s="50"/>
      <c r="D20" s="50"/>
      <c r="E20" s="50"/>
      <c r="F20" s="50"/>
      <c r="G20" s="50"/>
      <c r="H20" s="51"/>
    </row>
    <row r="21" spans="2:8" ht="14.25" customHeight="1" x14ac:dyDescent="0.2">
      <c r="B21" s="52"/>
      <c r="C21" s="203"/>
      <c r="D21" s="203"/>
      <c r="E21" s="204"/>
      <c r="F21" s="204"/>
      <c r="G21" s="204"/>
      <c r="H21" s="53"/>
    </row>
    <row r="22" spans="2:8" ht="36" customHeight="1" x14ac:dyDescent="0.2">
      <c r="B22" s="187" t="s">
        <v>23</v>
      </c>
      <c r="C22" s="188"/>
      <c r="D22" s="188"/>
      <c r="E22" s="188"/>
      <c r="F22" s="188"/>
      <c r="G22" s="188"/>
      <c r="H22" s="189"/>
    </row>
    <row r="23" spans="2:8" ht="13.5" x14ac:dyDescent="0.2">
      <c r="B23" s="54"/>
      <c r="C23" s="55"/>
      <c r="D23" s="55"/>
      <c r="E23" s="190"/>
      <c r="F23" s="190"/>
      <c r="G23" s="48"/>
      <c r="H23" s="56"/>
    </row>
    <row r="24" spans="2:8" ht="13.5" thickBot="1" x14ac:dyDescent="0.25">
      <c r="B24" s="57"/>
      <c r="C24" s="58"/>
      <c r="D24" s="58"/>
      <c r="E24" s="58"/>
      <c r="F24" s="58"/>
      <c r="G24" s="58"/>
      <c r="H24" s="59"/>
    </row>
    <row r="25" spans="2:8" x14ac:dyDescent="0.2"/>
    <row r="26" spans="2:8" ht="29.25" customHeight="1" x14ac:dyDescent="0.2"/>
    <row r="27" spans="2:8" ht="26.25" customHeight="1" x14ac:dyDescent="0.2"/>
    <row r="28" spans="2:8" ht="43.5" customHeight="1" x14ac:dyDescent="0.2"/>
    <row r="29" spans="2:8" ht="53.25" customHeight="1" x14ac:dyDescent="0.2"/>
    <row r="30" spans="2:8" x14ac:dyDescent="0.2"/>
    <row r="31" spans="2:8" x14ac:dyDescent="0.2"/>
    <row r="32" spans="2:8" x14ac:dyDescent="0.2"/>
    <row r="33" x14ac:dyDescent="0.2"/>
    <row r="34" x14ac:dyDescent="0.2"/>
    <row r="35"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x14ac:dyDescent="0.2"/>
    <row r="52" x14ac:dyDescent="0.2"/>
    <row r="54" x14ac:dyDescent="0.2"/>
  </sheetData>
  <sheetProtection algorithmName="SHA-512" hashValue="t7sIeOvFa2bhukBsHVcHmO5gG9cifT20ZR8W/o5PL1FLs7w8K+KkEm6wLVbMVfYFM8W9luBRuNKu+qdhAWPM7w==" saltValue="H/shNuEdnFDauevCofk8Sw==" spinCount="100000" sheet="1" objects="1" scenarios="1"/>
  <mergeCells count="27">
    <mergeCell ref="B22:H22"/>
    <mergeCell ref="E23:F23"/>
    <mergeCell ref="C13:D13"/>
    <mergeCell ref="E13:F13"/>
    <mergeCell ref="C16:D16"/>
    <mergeCell ref="C18:D18"/>
    <mergeCell ref="E18:F18"/>
    <mergeCell ref="C19:D19"/>
    <mergeCell ref="E19:F19"/>
    <mergeCell ref="C21:D21"/>
    <mergeCell ref="E21:G21"/>
    <mergeCell ref="B15:H15"/>
    <mergeCell ref="E16:F16"/>
    <mergeCell ref="C17:D17"/>
    <mergeCell ref="E17:F17"/>
    <mergeCell ref="C10:D10"/>
    <mergeCell ref="E10:F10"/>
    <mergeCell ref="C11:D11"/>
    <mergeCell ref="E11:F11"/>
    <mergeCell ref="C12:D12"/>
    <mergeCell ref="E12:F12"/>
    <mergeCell ref="B2:H2"/>
    <mergeCell ref="B3:H4"/>
    <mergeCell ref="B5:H5"/>
    <mergeCell ref="B6:H7"/>
    <mergeCell ref="C9:D9"/>
    <mergeCell ref="E9:F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59"/>
  <sheetViews>
    <sheetView showGridLines="0" topLeftCell="A15" zoomScale="56" zoomScaleNormal="100" workbookViewId="0">
      <pane ySplit="1" topLeftCell="A55" activePane="bottomLeft" state="frozen"/>
      <selection pane="bottomLeft" activeCell="H25" sqref="H25"/>
    </sheetView>
  </sheetViews>
  <sheetFormatPr baseColWidth="10" defaultColWidth="11.42578125" defaultRowHeight="16.5" x14ac:dyDescent="0.3"/>
  <cols>
    <col min="1" max="1" width="3" style="44" customWidth="1"/>
    <col min="2" max="2" width="9.42578125" style="44" customWidth="1"/>
    <col min="3" max="3" width="25.5703125" style="44" customWidth="1"/>
    <col min="4" max="4" width="46.5703125" style="44" customWidth="1"/>
    <col min="5" max="5" width="10.140625" style="66" customWidth="1"/>
    <col min="6" max="6" width="44.5703125" style="66" customWidth="1"/>
    <col min="7" max="7" width="15.42578125" style="44" customWidth="1"/>
    <col min="8" max="8" width="83" style="44" customWidth="1"/>
    <col min="9" max="9" width="43" style="44" customWidth="1"/>
    <col min="10" max="12" width="11.42578125" style="69" customWidth="1"/>
    <col min="13" max="24" width="11.42578125" style="44" customWidth="1"/>
    <col min="25" max="16384" width="11.42578125" style="44"/>
  </cols>
  <sheetData>
    <row r="1" spans="1:32" x14ac:dyDescent="0.3">
      <c r="B1" s="43"/>
      <c r="C1" s="43"/>
      <c r="D1" s="43"/>
      <c r="E1" s="65"/>
      <c r="F1" s="65"/>
      <c r="G1" s="43"/>
      <c r="H1" s="43"/>
      <c r="I1" s="43"/>
      <c r="J1" s="67"/>
      <c r="K1" s="67"/>
      <c r="L1" s="67"/>
      <c r="M1" s="43"/>
      <c r="N1" s="43"/>
      <c r="O1" s="43"/>
      <c r="P1" s="43"/>
      <c r="Q1" s="43"/>
      <c r="R1" s="43"/>
      <c r="S1" s="43"/>
      <c r="T1" s="43"/>
      <c r="U1" s="43"/>
      <c r="V1" s="43"/>
      <c r="W1" s="43"/>
      <c r="X1" s="43"/>
    </row>
    <row r="2" spans="1:32" x14ac:dyDescent="0.3">
      <c r="B2" s="43"/>
      <c r="C2" s="43"/>
      <c r="D2" s="43"/>
      <c r="E2" s="65"/>
      <c r="F2" s="65"/>
      <c r="G2" s="43"/>
      <c r="H2" s="43"/>
      <c r="I2" s="43"/>
      <c r="J2" s="67"/>
      <c r="K2" s="67"/>
      <c r="L2" s="67"/>
      <c r="M2" s="43"/>
      <c r="N2" s="43"/>
      <c r="O2" s="43"/>
      <c r="P2" s="43"/>
      <c r="Q2" s="43"/>
      <c r="R2" s="43"/>
      <c r="S2" s="43"/>
      <c r="T2" s="43"/>
      <c r="U2" s="43"/>
      <c r="V2" s="43"/>
      <c r="W2" s="43"/>
      <c r="X2" s="43"/>
    </row>
    <row r="3" spans="1:32" x14ac:dyDescent="0.3">
      <c r="B3" s="43"/>
      <c r="C3" s="43"/>
      <c r="D3" s="43"/>
      <c r="E3" s="65"/>
      <c r="F3" s="65"/>
      <c r="G3" s="43"/>
      <c r="H3" s="43"/>
      <c r="I3" s="43"/>
      <c r="J3" s="67"/>
      <c r="K3" s="67"/>
      <c r="L3" s="67"/>
      <c r="M3" s="43"/>
      <c r="N3" s="43"/>
      <c r="O3" s="43"/>
      <c r="P3" s="43"/>
      <c r="Q3" s="43"/>
      <c r="R3" s="43"/>
      <c r="S3" s="43"/>
      <c r="T3" s="43"/>
      <c r="U3" s="43"/>
      <c r="V3" s="43"/>
      <c r="W3" s="43"/>
      <c r="X3" s="43"/>
    </row>
    <row r="4" spans="1:32" x14ac:dyDescent="0.3">
      <c r="B4" s="43"/>
      <c r="C4" s="43"/>
      <c r="D4" s="43"/>
      <c r="E4" s="65"/>
      <c r="F4" s="65"/>
      <c r="G4" s="43"/>
      <c r="H4" s="43"/>
      <c r="I4" s="43"/>
      <c r="J4" s="67"/>
      <c r="K4" s="67"/>
      <c r="L4" s="67"/>
      <c r="M4" s="43"/>
      <c r="N4" s="43"/>
      <c r="O4" s="43"/>
      <c r="P4" s="43"/>
      <c r="Q4" s="43"/>
      <c r="R4" s="43"/>
      <c r="S4" s="43"/>
      <c r="T4" s="43"/>
      <c r="U4" s="43"/>
      <c r="V4" s="43"/>
      <c r="W4" s="43"/>
      <c r="X4" s="43"/>
    </row>
    <row r="5" spans="1:32" x14ac:dyDescent="0.3">
      <c r="B5" s="43"/>
      <c r="C5" s="43"/>
      <c r="D5" s="43"/>
      <c r="E5" s="65"/>
      <c r="F5" s="65"/>
      <c r="G5" s="43"/>
      <c r="H5" s="43"/>
      <c r="I5" s="43"/>
      <c r="J5" s="67"/>
      <c r="K5" s="67"/>
      <c r="L5" s="67"/>
      <c r="M5" s="43"/>
      <c r="N5" s="43"/>
      <c r="O5" s="43"/>
      <c r="P5" s="43"/>
      <c r="Q5" s="43"/>
      <c r="R5" s="43"/>
      <c r="S5" s="43"/>
      <c r="T5" s="43"/>
      <c r="U5" s="43"/>
      <c r="V5" s="43"/>
      <c r="W5" s="43"/>
      <c r="X5" s="43"/>
    </row>
    <row r="6" spans="1:32" x14ac:dyDescent="0.3">
      <c r="B6" s="43"/>
      <c r="C6" s="43"/>
      <c r="D6" s="43"/>
      <c r="E6" s="65"/>
      <c r="F6" s="65"/>
      <c r="G6" s="43"/>
      <c r="H6" s="43"/>
      <c r="I6" s="43"/>
      <c r="J6" s="67"/>
      <c r="K6" s="67"/>
      <c r="L6" s="67"/>
      <c r="M6" s="43"/>
      <c r="N6" s="43"/>
      <c r="O6" s="43"/>
      <c r="P6" s="43"/>
      <c r="Q6" s="43"/>
      <c r="R6" s="43"/>
      <c r="S6" s="43"/>
      <c r="T6" s="43"/>
      <c r="U6" s="43"/>
      <c r="V6" s="43"/>
      <c r="W6" s="43"/>
      <c r="X6" s="43"/>
    </row>
    <row r="7" spans="1:32" x14ac:dyDescent="0.3">
      <c r="B7" s="43"/>
      <c r="C7" s="43"/>
      <c r="D7" s="43"/>
      <c r="E7" s="65"/>
      <c r="F7" s="65"/>
      <c r="G7" s="43"/>
      <c r="H7" s="43"/>
      <c r="I7" s="43"/>
      <c r="J7" s="67"/>
      <c r="K7" s="67"/>
      <c r="L7" s="67"/>
      <c r="M7" s="43"/>
      <c r="N7" s="43"/>
      <c r="O7" s="43"/>
      <c r="P7" s="43"/>
      <c r="Q7" s="43"/>
      <c r="R7" s="43"/>
      <c r="S7" s="43"/>
      <c r="T7" s="43"/>
      <c r="U7" s="43"/>
      <c r="V7" s="43"/>
      <c r="W7" s="43"/>
      <c r="X7" s="43"/>
    </row>
    <row r="8" spans="1:32" x14ac:dyDescent="0.3">
      <c r="B8" s="43"/>
      <c r="C8" s="43"/>
      <c r="D8" s="43"/>
      <c r="E8" s="65"/>
      <c r="F8" s="65"/>
      <c r="G8" s="43"/>
      <c r="H8" s="43"/>
      <c r="I8" s="43"/>
      <c r="J8" s="67"/>
      <c r="K8" s="67"/>
      <c r="L8" s="67"/>
      <c r="M8" s="43"/>
      <c r="N8" s="43"/>
      <c r="O8" s="43"/>
      <c r="P8" s="43"/>
      <c r="Q8" s="43"/>
      <c r="R8" s="43"/>
      <c r="S8" s="43"/>
      <c r="T8" s="43"/>
      <c r="U8" s="43"/>
      <c r="V8" s="43"/>
      <c r="W8" s="43"/>
      <c r="X8" s="43"/>
    </row>
    <row r="9" spans="1:32" x14ac:dyDescent="0.3">
      <c r="B9" s="43"/>
      <c r="C9" s="43"/>
      <c r="D9" s="43"/>
      <c r="E9" s="65"/>
      <c r="F9" s="65"/>
      <c r="G9" s="43"/>
      <c r="H9" s="43"/>
      <c r="I9" s="43"/>
      <c r="J9" s="67"/>
      <c r="K9" s="67"/>
      <c r="L9" s="67"/>
      <c r="M9" s="43"/>
      <c r="N9" s="43"/>
      <c r="O9" s="43"/>
      <c r="P9" s="43"/>
      <c r="Q9" s="43"/>
      <c r="R9" s="43"/>
      <c r="S9" s="43"/>
      <c r="T9" s="43"/>
      <c r="U9" s="43"/>
      <c r="V9" s="43"/>
      <c r="W9" s="43"/>
      <c r="X9" s="43"/>
    </row>
    <row r="10" spans="1:32" x14ac:dyDescent="0.3">
      <c r="B10" s="43"/>
      <c r="C10" s="43"/>
      <c r="D10" s="43"/>
      <c r="E10" s="65"/>
      <c r="F10" s="65"/>
      <c r="G10" s="43"/>
      <c r="H10" s="43"/>
      <c r="I10" s="43"/>
      <c r="J10" s="67"/>
      <c r="K10" s="67"/>
      <c r="L10" s="67"/>
      <c r="M10" s="43"/>
      <c r="N10" s="43"/>
      <c r="O10" s="43"/>
      <c r="P10" s="43"/>
      <c r="Q10" s="43"/>
      <c r="R10" s="43"/>
      <c r="S10" s="43"/>
      <c r="T10" s="43"/>
      <c r="U10" s="43"/>
      <c r="V10" s="43"/>
      <c r="W10" s="43"/>
      <c r="X10" s="43"/>
    </row>
    <row r="11" spans="1:32" x14ac:dyDescent="0.3">
      <c r="B11" s="43"/>
      <c r="C11" s="43"/>
      <c r="D11" s="43"/>
      <c r="E11" s="65"/>
      <c r="F11" s="65"/>
      <c r="G11" s="43"/>
      <c r="H11" s="43"/>
      <c r="I11" s="43"/>
      <c r="J11" s="67"/>
      <c r="K11" s="67"/>
      <c r="L11" s="67"/>
      <c r="M11" s="43"/>
      <c r="N11" s="43"/>
      <c r="O11" s="43"/>
      <c r="P11" s="43"/>
      <c r="Q11" s="43"/>
      <c r="R11" s="43"/>
      <c r="S11" s="43"/>
      <c r="T11" s="43"/>
      <c r="U11" s="43"/>
      <c r="V11" s="43"/>
      <c r="W11" s="43"/>
      <c r="X11" s="43"/>
    </row>
    <row r="12" spans="1:32" x14ac:dyDescent="0.3">
      <c r="B12" s="43"/>
      <c r="C12" s="43"/>
      <c r="D12" s="43"/>
      <c r="E12" s="65"/>
      <c r="F12" s="65"/>
      <c r="G12" s="43"/>
      <c r="H12" s="43"/>
      <c r="I12" s="43"/>
      <c r="J12" s="67"/>
      <c r="K12" s="67"/>
      <c r="L12" s="67"/>
      <c r="M12" s="43"/>
      <c r="N12" s="43"/>
      <c r="O12" s="43"/>
      <c r="P12" s="43"/>
      <c r="Q12" s="43"/>
      <c r="R12" s="43"/>
      <c r="S12" s="43"/>
      <c r="T12" s="43"/>
      <c r="U12" s="43"/>
      <c r="V12" s="43"/>
      <c r="W12" s="43"/>
      <c r="X12" s="43"/>
    </row>
    <row r="13" spans="1:32" x14ac:dyDescent="0.3">
      <c r="B13" s="43"/>
      <c r="C13" s="43"/>
      <c r="D13" s="43"/>
      <c r="E13" s="65"/>
      <c r="F13" s="65"/>
      <c r="G13" s="43"/>
      <c r="H13" s="43"/>
      <c r="I13" s="43"/>
      <c r="J13" s="67"/>
      <c r="K13" s="67"/>
      <c r="L13" s="67"/>
      <c r="M13" s="43"/>
      <c r="N13" s="43"/>
      <c r="O13" s="43"/>
      <c r="P13" s="43"/>
      <c r="Q13" s="43"/>
      <c r="R13" s="43"/>
      <c r="S13" s="43"/>
      <c r="T13" s="43"/>
      <c r="U13" s="43"/>
      <c r="V13" s="43"/>
      <c r="W13" s="43"/>
      <c r="X13" s="43"/>
    </row>
    <row r="14" spans="1:32" s="46" customFormat="1" ht="49.5" customHeight="1" x14ac:dyDescent="0.25">
      <c r="B14" s="241" t="s">
        <v>24</v>
      </c>
      <c r="C14" s="241"/>
      <c r="D14" s="241"/>
      <c r="E14" s="241"/>
      <c r="F14" s="241"/>
      <c r="G14" s="241"/>
      <c r="H14" s="241"/>
      <c r="I14" s="241"/>
      <c r="J14" s="68"/>
      <c r="K14" s="68"/>
      <c r="L14" s="68"/>
      <c r="M14" s="45"/>
      <c r="N14" s="45"/>
      <c r="O14" s="45"/>
      <c r="P14" s="45"/>
      <c r="Q14" s="45"/>
      <c r="R14" s="45"/>
      <c r="S14" s="45"/>
      <c r="T14" s="45"/>
      <c r="U14" s="45"/>
      <c r="V14" s="45"/>
      <c r="W14" s="45"/>
      <c r="X14" s="45"/>
      <c r="Y14" s="45"/>
      <c r="Z14" s="45"/>
      <c r="AA14" s="45"/>
      <c r="AB14" s="45"/>
      <c r="AC14" s="45"/>
      <c r="AD14" s="45"/>
      <c r="AE14" s="45"/>
      <c r="AF14" s="45"/>
    </row>
    <row r="15" spans="1:32" s="46" customFormat="1" ht="123.75" customHeight="1" thickBot="1" x14ac:dyDescent="0.3">
      <c r="B15" s="71" t="s">
        <v>25</v>
      </c>
      <c r="C15" s="71" t="s">
        <v>6</v>
      </c>
      <c r="D15" s="72" t="s">
        <v>8</v>
      </c>
      <c r="E15" s="73" t="s">
        <v>26</v>
      </c>
      <c r="F15" s="73" t="s">
        <v>27</v>
      </c>
      <c r="G15" s="73" t="s">
        <v>28</v>
      </c>
      <c r="H15" s="74" t="s">
        <v>29</v>
      </c>
      <c r="I15" s="73" t="s">
        <v>30</v>
      </c>
      <c r="J15" s="68"/>
      <c r="K15" s="68"/>
      <c r="L15" s="68"/>
      <c r="M15" s="45"/>
      <c r="N15" s="45"/>
      <c r="O15" s="45"/>
      <c r="P15" s="45"/>
      <c r="Q15" s="45"/>
      <c r="R15" s="45"/>
      <c r="S15" s="45"/>
      <c r="T15" s="45"/>
      <c r="U15" s="45"/>
      <c r="V15" s="45"/>
      <c r="W15" s="45"/>
      <c r="X15" s="45"/>
      <c r="Y15" s="45"/>
      <c r="Z15" s="45"/>
      <c r="AA15" s="45"/>
      <c r="AB15" s="45"/>
      <c r="AC15" s="45"/>
      <c r="AD15" s="45"/>
      <c r="AE15" s="45"/>
      <c r="AF15" s="45"/>
    </row>
    <row r="16" spans="1:32" s="46" customFormat="1" ht="182.25" customHeight="1" x14ac:dyDescent="0.25">
      <c r="A16" s="95" t="str">
        <f>1&amp;E16</f>
        <v>1a</v>
      </c>
      <c r="B16" s="252" t="s">
        <v>31</v>
      </c>
      <c r="C16" s="216" t="s">
        <v>32</v>
      </c>
      <c r="D16" s="249" t="s">
        <v>33</v>
      </c>
      <c r="E16" s="75" t="s">
        <v>34</v>
      </c>
      <c r="F16" s="76" t="s">
        <v>35</v>
      </c>
      <c r="G16" s="103" t="s">
        <v>36</v>
      </c>
      <c r="H16" s="159" t="s">
        <v>37</v>
      </c>
      <c r="I16" s="96" t="str">
        <f>+IF(G16="Si","Mantenimiento del control",IF(G16="En proceso","Oportunidad de mejora","Deficiencia de control"))</f>
        <v>Mantenimiento del control</v>
      </c>
      <c r="J16" s="97">
        <f t="shared" ref="J16:J27" si="0">+IF(G16="Si",20,IF(G16="En proceso",10,0))</f>
        <v>20</v>
      </c>
      <c r="K16" s="97">
        <v>0.123</v>
      </c>
      <c r="L16" s="97">
        <f>+J16+K16</f>
        <v>20.123000000000001</v>
      </c>
    </row>
    <row r="17" spans="1:32" s="46" customFormat="1" ht="120.75" customHeight="1" x14ac:dyDescent="0.25">
      <c r="A17" s="95" t="str">
        <f t="shared" ref="A17:A27" si="1">1&amp;E17</f>
        <v>1b</v>
      </c>
      <c r="B17" s="253"/>
      <c r="C17" s="217"/>
      <c r="D17" s="250"/>
      <c r="E17" s="77" t="s">
        <v>38</v>
      </c>
      <c r="F17" s="78" t="s">
        <v>39</v>
      </c>
      <c r="G17" s="105" t="s">
        <v>36</v>
      </c>
      <c r="H17" s="106" t="s">
        <v>40</v>
      </c>
      <c r="I17" s="98" t="str">
        <f t="shared" ref="I17:I59" si="2">+IF(G17="Si","Mantenimiento del control",IF(G17="En proceso","Oportunidad de mejora","Deficiencia de control"))</f>
        <v>Mantenimiento del control</v>
      </c>
      <c r="J17" s="99">
        <f t="shared" si="0"/>
        <v>20</v>
      </c>
      <c r="K17" s="97">
        <v>0.1234</v>
      </c>
      <c r="L17" s="97">
        <f t="shared" ref="L17:L59" si="3">+J17+K17</f>
        <v>20.1234</v>
      </c>
    </row>
    <row r="18" spans="1:32" s="46" customFormat="1" ht="327" customHeight="1" x14ac:dyDescent="0.25">
      <c r="A18" s="95" t="str">
        <f t="shared" si="1"/>
        <v>1c</v>
      </c>
      <c r="B18" s="253"/>
      <c r="C18" s="217"/>
      <c r="D18" s="250"/>
      <c r="E18" s="77" t="s">
        <v>41</v>
      </c>
      <c r="F18" s="79" t="s">
        <v>42</v>
      </c>
      <c r="G18" s="105" t="s">
        <v>43</v>
      </c>
      <c r="H18" s="106" t="s">
        <v>243</v>
      </c>
      <c r="I18" s="100" t="str">
        <f t="shared" si="2"/>
        <v>Oportunidad de mejora</v>
      </c>
      <c r="J18" s="99">
        <f t="shared" si="0"/>
        <v>10</v>
      </c>
      <c r="K18" s="97">
        <v>0.12345</v>
      </c>
      <c r="L18" s="97">
        <f t="shared" si="3"/>
        <v>10.12345</v>
      </c>
    </row>
    <row r="19" spans="1:32" s="46" customFormat="1" ht="70.5" customHeight="1" x14ac:dyDescent="0.25">
      <c r="A19" s="95" t="str">
        <f t="shared" si="1"/>
        <v>1d</v>
      </c>
      <c r="B19" s="253"/>
      <c r="C19" s="217"/>
      <c r="D19" s="250"/>
      <c r="E19" s="77" t="s">
        <v>44</v>
      </c>
      <c r="F19" s="79" t="s">
        <v>45</v>
      </c>
      <c r="G19" s="105" t="s">
        <v>36</v>
      </c>
      <c r="H19" s="106" t="s">
        <v>46</v>
      </c>
      <c r="I19" s="100" t="str">
        <f t="shared" si="2"/>
        <v>Mantenimiento del control</v>
      </c>
      <c r="J19" s="99">
        <f t="shared" si="0"/>
        <v>20</v>
      </c>
      <c r="K19" s="97">
        <v>0.123456</v>
      </c>
      <c r="L19" s="97">
        <f t="shared" si="3"/>
        <v>20.123456000000001</v>
      </c>
    </row>
    <row r="20" spans="1:32" s="46" customFormat="1" ht="94.5" customHeight="1" x14ac:dyDescent="0.25">
      <c r="A20" s="95" t="str">
        <f t="shared" si="1"/>
        <v>1e</v>
      </c>
      <c r="B20" s="253"/>
      <c r="C20" s="217"/>
      <c r="D20" s="250"/>
      <c r="E20" s="77" t="s">
        <v>47</v>
      </c>
      <c r="F20" s="79" t="s">
        <v>48</v>
      </c>
      <c r="G20" s="105" t="s">
        <v>36</v>
      </c>
      <c r="H20" s="160" t="s">
        <v>49</v>
      </c>
      <c r="I20" s="100" t="str">
        <f t="shared" si="2"/>
        <v>Mantenimiento del control</v>
      </c>
      <c r="J20" s="99">
        <f t="shared" si="0"/>
        <v>20</v>
      </c>
      <c r="K20" s="97">
        <v>0.12345678</v>
      </c>
      <c r="L20" s="97">
        <f t="shared" si="3"/>
        <v>20.123456780000001</v>
      </c>
    </row>
    <row r="21" spans="1:32" s="46" customFormat="1" ht="95.25" customHeight="1" x14ac:dyDescent="0.25">
      <c r="A21" s="95" t="str">
        <f t="shared" si="1"/>
        <v>1f</v>
      </c>
      <c r="B21" s="253"/>
      <c r="C21" s="217"/>
      <c r="D21" s="250"/>
      <c r="E21" s="77" t="s">
        <v>50</v>
      </c>
      <c r="F21" s="79" t="s">
        <v>51</v>
      </c>
      <c r="G21" s="105" t="s">
        <v>43</v>
      </c>
      <c r="H21" s="106" t="s">
        <v>52</v>
      </c>
      <c r="I21" s="100" t="str">
        <f t="shared" si="2"/>
        <v>Oportunidad de mejora</v>
      </c>
      <c r="J21" s="99">
        <f t="shared" si="0"/>
        <v>10</v>
      </c>
      <c r="K21" s="97">
        <v>0.123456789</v>
      </c>
      <c r="L21" s="97">
        <f t="shared" si="3"/>
        <v>10.123456789</v>
      </c>
    </row>
    <row r="22" spans="1:32" s="46" customFormat="1" ht="65.25" customHeight="1" x14ac:dyDescent="0.25">
      <c r="A22" s="95" t="str">
        <f t="shared" si="1"/>
        <v>1g</v>
      </c>
      <c r="B22" s="253"/>
      <c r="C22" s="217"/>
      <c r="D22" s="250"/>
      <c r="E22" s="77" t="s">
        <v>53</v>
      </c>
      <c r="F22" s="79" t="s">
        <v>54</v>
      </c>
      <c r="G22" s="105" t="s">
        <v>36</v>
      </c>
      <c r="H22" s="153" t="s">
        <v>55</v>
      </c>
      <c r="I22" s="100" t="str">
        <f t="shared" si="2"/>
        <v>Mantenimiento del control</v>
      </c>
      <c r="J22" s="99">
        <f t="shared" si="0"/>
        <v>20</v>
      </c>
      <c r="K22" s="97">
        <v>0.12345678910000001</v>
      </c>
      <c r="L22" s="97">
        <f t="shared" si="3"/>
        <v>20.1234567891</v>
      </c>
    </row>
    <row r="23" spans="1:32" s="46" customFormat="1" ht="161.25" customHeight="1" x14ac:dyDescent="0.25">
      <c r="A23" s="95" t="str">
        <f t="shared" si="1"/>
        <v>1h</v>
      </c>
      <c r="B23" s="253"/>
      <c r="C23" s="217"/>
      <c r="D23" s="250"/>
      <c r="E23" s="77" t="s">
        <v>56</v>
      </c>
      <c r="F23" s="79" t="s">
        <v>57</v>
      </c>
      <c r="G23" s="105" t="s">
        <v>43</v>
      </c>
      <c r="H23" s="153" t="s">
        <v>242</v>
      </c>
      <c r="I23" s="100" t="str">
        <f t="shared" si="2"/>
        <v>Oportunidad de mejora</v>
      </c>
      <c r="J23" s="99">
        <f t="shared" si="0"/>
        <v>10</v>
      </c>
      <c r="K23" s="97">
        <v>0.12345678911999999</v>
      </c>
      <c r="L23" s="97">
        <f t="shared" si="3"/>
        <v>10.12345678912</v>
      </c>
    </row>
    <row r="24" spans="1:32" s="46" customFormat="1" ht="103.5" customHeight="1" x14ac:dyDescent="0.25">
      <c r="A24" s="95" t="str">
        <f t="shared" si="1"/>
        <v>1i</v>
      </c>
      <c r="B24" s="253"/>
      <c r="C24" s="217"/>
      <c r="D24" s="250"/>
      <c r="E24" s="77" t="s">
        <v>58</v>
      </c>
      <c r="F24" s="79" t="s">
        <v>59</v>
      </c>
      <c r="G24" s="105" t="s">
        <v>43</v>
      </c>
      <c r="H24" s="106" t="s">
        <v>60</v>
      </c>
      <c r="I24" s="100" t="str">
        <f t="shared" si="2"/>
        <v>Oportunidad de mejora</v>
      </c>
      <c r="J24" s="99">
        <f t="shared" si="0"/>
        <v>10</v>
      </c>
      <c r="K24" s="97">
        <v>0.123456789123</v>
      </c>
      <c r="L24" s="97">
        <f t="shared" si="3"/>
        <v>10.123456789123001</v>
      </c>
    </row>
    <row r="25" spans="1:32" s="46" customFormat="1" ht="87" customHeight="1" x14ac:dyDescent="0.25">
      <c r="A25" s="95" t="str">
        <f t="shared" si="1"/>
        <v>1j</v>
      </c>
      <c r="B25" s="253"/>
      <c r="C25" s="217"/>
      <c r="D25" s="250"/>
      <c r="E25" s="77" t="s">
        <v>61</v>
      </c>
      <c r="F25" s="79" t="s">
        <v>62</v>
      </c>
      <c r="G25" s="105" t="s">
        <v>36</v>
      </c>
      <c r="H25" s="153" t="s">
        <v>244</v>
      </c>
      <c r="I25" s="100" t="str">
        <f t="shared" si="2"/>
        <v>Mantenimiento del control</v>
      </c>
      <c r="J25" s="99">
        <f t="shared" si="0"/>
        <v>20</v>
      </c>
      <c r="K25" s="97">
        <v>0.1234567891234</v>
      </c>
      <c r="L25" s="97">
        <f t="shared" si="3"/>
        <v>20.123456789123399</v>
      </c>
    </row>
    <row r="26" spans="1:32" s="46" customFormat="1" ht="93" customHeight="1" x14ac:dyDescent="0.25">
      <c r="A26" s="95" t="str">
        <f t="shared" si="1"/>
        <v>1k</v>
      </c>
      <c r="B26" s="253"/>
      <c r="C26" s="217"/>
      <c r="D26" s="250"/>
      <c r="E26" s="77" t="s">
        <v>63</v>
      </c>
      <c r="F26" s="79" t="s">
        <v>64</v>
      </c>
      <c r="G26" s="105" t="s">
        <v>43</v>
      </c>
      <c r="H26" s="106" t="s">
        <v>65</v>
      </c>
      <c r="I26" s="100" t="str">
        <f t="shared" si="2"/>
        <v>Oportunidad de mejora</v>
      </c>
      <c r="J26" s="99">
        <f t="shared" si="0"/>
        <v>10</v>
      </c>
      <c r="K26" s="97">
        <v>0.12345678912345</v>
      </c>
      <c r="L26" s="97">
        <f t="shared" si="3"/>
        <v>10.12345678912345</v>
      </c>
    </row>
    <row r="27" spans="1:32" s="46" customFormat="1" ht="124.5" customHeight="1" thickBot="1" x14ac:dyDescent="0.3">
      <c r="A27" s="95" t="str">
        <f t="shared" si="1"/>
        <v>1l</v>
      </c>
      <c r="B27" s="254"/>
      <c r="C27" s="218"/>
      <c r="D27" s="251"/>
      <c r="E27" s="80" t="s">
        <v>66</v>
      </c>
      <c r="F27" s="81" t="s">
        <v>67</v>
      </c>
      <c r="G27" s="107" t="s">
        <v>36</v>
      </c>
      <c r="H27" s="157" t="s">
        <v>68</v>
      </c>
      <c r="I27" s="101" t="str">
        <f t="shared" si="2"/>
        <v>Mantenimiento del control</v>
      </c>
      <c r="J27" s="99">
        <f t="shared" si="0"/>
        <v>20</v>
      </c>
      <c r="K27" s="97">
        <v>0.12345678912345601</v>
      </c>
      <c r="L27" s="97">
        <f t="shared" si="3"/>
        <v>20.123456789123455</v>
      </c>
    </row>
    <row r="28" spans="1:32" s="46" customFormat="1" ht="93" customHeight="1" x14ac:dyDescent="0.25">
      <c r="A28" s="95" t="str">
        <f>2&amp;E28</f>
        <v>2a</v>
      </c>
      <c r="B28" s="255" t="s">
        <v>69</v>
      </c>
      <c r="C28" s="219" t="s">
        <v>70</v>
      </c>
      <c r="D28" s="258" t="s">
        <v>71</v>
      </c>
      <c r="E28" s="75" t="s">
        <v>34</v>
      </c>
      <c r="F28" s="76" t="s">
        <v>72</v>
      </c>
      <c r="G28" s="103" t="s">
        <v>36</v>
      </c>
      <c r="H28" s="104" t="s">
        <v>73</v>
      </c>
      <c r="I28" s="96" t="str">
        <f t="shared" si="2"/>
        <v>Mantenimiento del control</v>
      </c>
      <c r="J28" s="97">
        <f>+IF(G28="Si",40,IF(G28="En proceso",30,20))</f>
        <v>40</v>
      </c>
      <c r="K28" s="97">
        <v>0.23</v>
      </c>
      <c r="L28" s="97">
        <f t="shared" si="3"/>
        <v>40.229999999999997</v>
      </c>
    </row>
    <row r="29" spans="1:32" s="46" customFormat="1" ht="82.5" x14ac:dyDescent="0.25">
      <c r="A29" s="95" t="str">
        <f t="shared" ref="A29:A31" si="4">2&amp;E29</f>
        <v>2b</v>
      </c>
      <c r="B29" s="256"/>
      <c r="C29" s="220"/>
      <c r="D29" s="234"/>
      <c r="E29" s="77" t="s">
        <v>38</v>
      </c>
      <c r="F29" s="79" t="s">
        <v>74</v>
      </c>
      <c r="G29" s="105" t="s">
        <v>43</v>
      </c>
      <c r="H29" s="153" t="s">
        <v>75</v>
      </c>
      <c r="I29" s="100" t="str">
        <f t="shared" si="2"/>
        <v>Oportunidad de mejora</v>
      </c>
      <c r="J29" s="97">
        <f>+IF(G29="Si",40,IF(G29="En proceso",30,20))</f>
        <v>30</v>
      </c>
      <c r="K29" s="97">
        <v>0.23400000000000001</v>
      </c>
      <c r="L29" s="97">
        <f t="shared" si="3"/>
        <v>30.234000000000002</v>
      </c>
    </row>
    <row r="30" spans="1:32" s="46" customFormat="1" ht="66" x14ac:dyDescent="0.25">
      <c r="A30" s="95" t="str">
        <f t="shared" si="4"/>
        <v>2c</v>
      </c>
      <c r="B30" s="256"/>
      <c r="C30" s="220"/>
      <c r="D30" s="234"/>
      <c r="E30" s="77" t="s">
        <v>41</v>
      </c>
      <c r="F30" s="79" t="s">
        <v>76</v>
      </c>
      <c r="G30" s="105" t="s">
        <v>43</v>
      </c>
      <c r="H30" s="151" t="s">
        <v>77</v>
      </c>
      <c r="I30" s="100" t="str">
        <f t="shared" si="2"/>
        <v>Oportunidad de mejora</v>
      </c>
      <c r="J30" s="97">
        <f>+IF(G30="Si",40,IF(G30="En proceso",30,20))</f>
        <v>30</v>
      </c>
      <c r="K30" s="97">
        <v>0.23449999999999999</v>
      </c>
      <c r="L30" s="97">
        <f t="shared" si="3"/>
        <v>30.234500000000001</v>
      </c>
    </row>
    <row r="31" spans="1:32" s="46" customFormat="1" ht="63" x14ac:dyDescent="0.25">
      <c r="A31" s="95" t="str">
        <f t="shared" si="4"/>
        <v>2d</v>
      </c>
      <c r="B31" s="257"/>
      <c r="C31" s="221"/>
      <c r="D31" s="259"/>
      <c r="E31" s="80" t="s">
        <v>44</v>
      </c>
      <c r="F31" s="81" t="s">
        <v>78</v>
      </c>
      <c r="G31" s="107" t="s">
        <v>43</v>
      </c>
      <c r="H31" s="154" t="s">
        <v>79</v>
      </c>
      <c r="I31" s="101" t="str">
        <f t="shared" si="2"/>
        <v>Oportunidad de mejora</v>
      </c>
      <c r="J31" s="97">
        <f>+IF(G31="Si",40,IF(G31="En proceso",30,20))</f>
        <v>30</v>
      </c>
      <c r="K31" s="97">
        <v>0.23455999999999999</v>
      </c>
      <c r="L31" s="97">
        <f t="shared" si="3"/>
        <v>30.234559999999998</v>
      </c>
    </row>
    <row r="32" spans="1:32" s="46" customFormat="1" ht="193.5" customHeight="1" x14ac:dyDescent="0.25">
      <c r="A32" s="95" t="str">
        <f>3&amp;E32</f>
        <v>3a</v>
      </c>
      <c r="B32" s="231" t="s">
        <v>80</v>
      </c>
      <c r="C32" s="231" t="s">
        <v>70</v>
      </c>
      <c r="D32" s="232" t="s">
        <v>81</v>
      </c>
      <c r="E32" s="77" t="s">
        <v>34</v>
      </c>
      <c r="F32" s="79" t="s">
        <v>82</v>
      </c>
      <c r="G32" s="105" t="s">
        <v>43</v>
      </c>
      <c r="H32" s="158" t="s">
        <v>83</v>
      </c>
      <c r="I32" s="100" t="str">
        <f t="shared" si="2"/>
        <v>Oportunidad de mejora</v>
      </c>
      <c r="J32" s="97">
        <f t="shared" ref="J32:J37" si="5">+IF(G32="Si",40,IF(G32="En proceso",30,20))</f>
        <v>30</v>
      </c>
      <c r="K32" s="102">
        <v>0.234567</v>
      </c>
      <c r="L32" s="97">
        <f t="shared" ref="L32:L37" si="6">+J32+K32</f>
        <v>30.234566999999998</v>
      </c>
      <c r="M32" s="45"/>
      <c r="N32" s="45"/>
      <c r="O32" s="45"/>
      <c r="P32" s="45"/>
      <c r="Q32" s="45"/>
      <c r="R32" s="45"/>
      <c r="S32" s="45"/>
      <c r="T32" s="45"/>
      <c r="U32" s="45"/>
      <c r="V32" s="45"/>
      <c r="W32" s="45"/>
      <c r="X32" s="45"/>
      <c r="Y32" s="45"/>
      <c r="Z32" s="45"/>
      <c r="AA32" s="45"/>
      <c r="AB32" s="45"/>
      <c r="AC32" s="45"/>
      <c r="AD32" s="45"/>
      <c r="AE32" s="45"/>
      <c r="AF32" s="45"/>
    </row>
    <row r="33" spans="1:32" s="46" customFormat="1" ht="49.5" customHeight="1" x14ac:dyDescent="0.25">
      <c r="A33" s="95" t="str">
        <f t="shared" ref="A33:A34" si="7">3&amp;E33</f>
        <v>3b</v>
      </c>
      <c r="B33" s="231"/>
      <c r="C33" s="231"/>
      <c r="D33" s="232"/>
      <c r="E33" s="77" t="s">
        <v>38</v>
      </c>
      <c r="F33" s="79" t="s">
        <v>84</v>
      </c>
      <c r="G33" s="105" t="s">
        <v>43</v>
      </c>
      <c r="H33" s="153" t="s">
        <v>85</v>
      </c>
      <c r="I33" s="100" t="str">
        <f t="shared" si="2"/>
        <v>Oportunidad de mejora</v>
      </c>
      <c r="J33" s="97">
        <f t="shared" si="5"/>
        <v>30</v>
      </c>
      <c r="K33" s="102">
        <v>0.23456779999999999</v>
      </c>
      <c r="L33" s="97">
        <f t="shared" si="6"/>
        <v>30.234567800000001</v>
      </c>
      <c r="M33" s="45"/>
      <c r="N33" s="45"/>
      <c r="O33" s="45"/>
      <c r="P33" s="45"/>
      <c r="Q33" s="45"/>
      <c r="R33" s="45"/>
      <c r="S33" s="45"/>
      <c r="T33" s="45"/>
      <c r="U33" s="45"/>
      <c r="V33" s="45"/>
      <c r="W33" s="45"/>
      <c r="X33" s="45"/>
      <c r="Y33" s="45"/>
      <c r="Z33" s="45"/>
      <c r="AA33" s="45"/>
      <c r="AB33" s="45"/>
      <c r="AC33" s="45"/>
      <c r="AD33" s="45"/>
      <c r="AE33" s="45"/>
      <c r="AF33" s="45"/>
    </row>
    <row r="34" spans="1:32" s="46" customFormat="1" ht="124.5" customHeight="1" thickBot="1" x14ac:dyDescent="0.3">
      <c r="A34" s="95" t="str">
        <f t="shared" si="7"/>
        <v>3c</v>
      </c>
      <c r="B34" s="231"/>
      <c r="C34" s="231"/>
      <c r="D34" s="232"/>
      <c r="E34" s="77" t="s">
        <v>41</v>
      </c>
      <c r="F34" s="79" t="s">
        <v>86</v>
      </c>
      <c r="G34" s="105" t="s">
        <v>43</v>
      </c>
      <c r="H34" s="153" t="s">
        <v>87</v>
      </c>
      <c r="I34" s="100" t="str">
        <f t="shared" si="2"/>
        <v>Oportunidad de mejora</v>
      </c>
      <c r="J34" s="97">
        <f t="shared" si="5"/>
        <v>30</v>
      </c>
      <c r="K34" s="102">
        <v>0.23456789</v>
      </c>
      <c r="L34" s="97">
        <f t="shared" si="6"/>
        <v>30.234567890000001</v>
      </c>
      <c r="M34" s="45"/>
      <c r="N34" s="45"/>
      <c r="O34" s="45"/>
      <c r="P34" s="45"/>
      <c r="Q34" s="45"/>
      <c r="R34" s="45"/>
      <c r="S34" s="45"/>
      <c r="T34" s="45"/>
      <c r="U34" s="45"/>
      <c r="V34" s="45"/>
      <c r="W34" s="45"/>
      <c r="X34" s="45"/>
      <c r="Y34" s="45"/>
      <c r="Z34" s="45"/>
      <c r="AA34" s="45"/>
      <c r="AB34" s="45"/>
      <c r="AC34" s="45"/>
      <c r="AD34" s="45"/>
      <c r="AE34" s="45"/>
      <c r="AF34" s="45"/>
    </row>
    <row r="35" spans="1:32" s="46" customFormat="1" ht="83.25" customHeight="1" x14ac:dyDescent="0.25">
      <c r="A35" s="95" t="str">
        <f>4&amp;E35</f>
        <v>4a</v>
      </c>
      <c r="B35" s="233" t="s">
        <v>88</v>
      </c>
      <c r="C35" s="220" t="s">
        <v>70</v>
      </c>
      <c r="D35" s="234" t="s">
        <v>89</v>
      </c>
      <c r="E35" s="75" t="s">
        <v>34</v>
      </c>
      <c r="F35" s="76" t="s">
        <v>90</v>
      </c>
      <c r="G35" s="103" t="s">
        <v>91</v>
      </c>
      <c r="H35" s="104" t="s">
        <v>92</v>
      </c>
      <c r="I35" s="96" t="str">
        <f t="shared" si="2"/>
        <v>Deficiencia de control</v>
      </c>
      <c r="J35" s="97">
        <f t="shared" si="5"/>
        <v>20</v>
      </c>
      <c r="K35" s="102">
        <v>0.23456789119999999</v>
      </c>
      <c r="L35" s="97">
        <f t="shared" si="6"/>
        <v>20.234567891200001</v>
      </c>
      <c r="M35" s="45"/>
      <c r="N35" s="45"/>
      <c r="O35" s="45"/>
      <c r="P35" s="45"/>
      <c r="Q35" s="45"/>
    </row>
    <row r="36" spans="1:32" s="46" customFormat="1" ht="57.75" customHeight="1" x14ac:dyDescent="0.25">
      <c r="A36" s="95" t="str">
        <f t="shared" ref="A36:A37" si="8">4&amp;E36</f>
        <v>4b</v>
      </c>
      <c r="B36" s="233"/>
      <c r="C36" s="220"/>
      <c r="D36" s="234"/>
      <c r="E36" s="77" t="s">
        <v>38</v>
      </c>
      <c r="F36" s="79" t="s">
        <v>93</v>
      </c>
      <c r="G36" s="105" t="s">
        <v>43</v>
      </c>
      <c r="H36" s="153" t="s">
        <v>94</v>
      </c>
      <c r="I36" s="100" t="str">
        <f t="shared" si="2"/>
        <v>Oportunidad de mejora</v>
      </c>
      <c r="J36" s="97">
        <f t="shared" si="5"/>
        <v>30</v>
      </c>
      <c r="K36" s="102">
        <v>0.23456789122999999</v>
      </c>
      <c r="L36" s="97">
        <f t="shared" si="6"/>
        <v>30.23456789123</v>
      </c>
      <c r="M36" s="45"/>
      <c r="N36" s="45"/>
      <c r="O36" s="45"/>
      <c r="P36" s="45"/>
      <c r="Q36" s="45"/>
    </row>
    <row r="37" spans="1:32" s="46" customFormat="1" ht="49.5" customHeight="1" thickBot="1" x14ac:dyDescent="0.3">
      <c r="A37" s="95" t="str">
        <f t="shared" si="8"/>
        <v>4c</v>
      </c>
      <c r="B37" s="233"/>
      <c r="C37" s="220"/>
      <c r="D37" s="234"/>
      <c r="E37" s="77" t="s">
        <v>41</v>
      </c>
      <c r="F37" s="79" t="s">
        <v>95</v>
      </c>
      <c r="G37" s="105" t="s">
        <v>91</v>
      </c>
      <c r="H37" s="153" t="s">
        <v>96</v>
      </c>
      <c r="I37" s="100" t="str">
        <f t="shared" si="2"/>
        <v>Deficiencia de control</v>
      </c>
      <c r="J37" s="97">
        <f t="shared" si="5"/>
        <v>20</v>
      </c>
      <c r="K37" s="102">
        <v>0.23456789123399999</v>
      </c>
      <c r="L37" s="97">
        <f t="shared" si="6"/>
        <v>20.234567891234001</v>
      </c>
      <c r="M37" s="45"/>
      <c r="N37" s="45"/>
      <c r="O37" s="45"/>
      <c r="P37" s="45"/>
      <c r="Q37" s="45"/>
    </row>
    <row r="38" spans="1:32" s="46" customFormat="1" ht="85.5" customHeight="1" x14ac:dyDescent="0.25">
      <c r="A38" s="95" t="str">
        <f>5&amp;E38</f>
        <v>5a</v>
      </c>
      <c r="B38" s="235" t="s">
        <v>97</v>
      </c>
      <c r="C38" s="222" t="s">
        <v>98</v>
      </c>
      <c r="D38" s="238" t="s">
        <v>99</v>
      </c>
      <c r="E38" s="75" t="s">
        <v>34</v>
      </c>
      <c r="F38" s="76" t="s">
        <v>100</v>
      </c>
      <c r="G38" s="103" t="s">
        <v>43</v>
      </c>
      <c r="H38" s="104" t="s">
        <v>101</v>
      </c>
      <c r="I38" s="96" t="str">
        <f t="shared" si="2"/>
        <v>Oportunidad de mejora</v>
      </c>
      <c r="J38" s="97">
        <f>+IF(G38="Si",60,IF(G38="En proceso",50,40))</f>
        <v>50</v>
      </c>
      <c r="K38" s="97">
        <v>0.31</v>
      </c>
      <c r="L38" s="97">
        <f t="shared" si="3"/>
        <v>50.31</v>
      </c>
    </row>
    <row r="39" spans="1:32" s="46" customFormat="1" ht="63" x14ac:dyDescent="0.25">
      <c r="A39" s="95" t="str">
        <f t="shared" ref="A39:A42" si="9">5&amp;E39</f>
        <v>5b</v>
      </c>
      <c r="B39" s="236"/>
      <c r="C39" s="223"/>
      <c r="D39" s="239"/>
      <c r="E39" s="77" t="s">
        <v>38</v>
      </c>
      <c r="F39" s="79" t="s">
        <v>102</v>
      </c>
      <c r="G39" s="105" t="s">
        <v>43</v>
      </c>
      <c r="H39" s="153" t="s">
        <v>103</v>
      </c>
      <c r="I39" s="100" t="str">
        <f t="shared" si="2"/>
        <v>Oportunidad de mejora</v>
      </c>
      <c r="J39" s="97">
        <f>+IF(G39="Si",60,IF(G39="En proceso",50,40))</f>
        <v>50</v>
      </c>
      <c r="K39" s="97">
        <v>0.32300000000000001</v>
      </c>
      <c r="L39" s="97">
        <f t="shared" si="3"/>
        <v>50.323</v>
      </c>
    </row>
    <row r="40" spans="1:32" s="46" customFormat="1" ht="66" x14ac:dyDescent="0.25">
      <c r="A40" s="95" t="str">
        <f t="shared" si="9"/>
        <v>5c</v>
      </c>
      <c r="B40" s="236"/>
      <c r="C40" s="223"/>
      <c r="D40" s="239"/>
      <c r="E40" s="77" t="s">
        <v>41</v>
      </c>
      <c r="F40" s="79" t="s">
        <v>104</v>
      </c>
      <c r="G40" s="105" t="s">
        <v>36</v>
      </c>
      <c r="H40" s="106" t="s">
        <v>105</v>
      </c>
      <c r="I40" s="100" t="str">
        <f t="shared" si="2"/>
        <v>Mantenimiento del control</v>
      </c>
      <c r="J40" s="97">
        <f>+IF(G40="Si",60,IF(G40="En proceso",50,40))</f>
        <v>60</v>
      </c>
      <c r="K40" s="97">
        <v>0.32400000000000001</v>
      </c>
      <c r="L40" s="97">
        <f t="shared" si="3"/>
        <v>60.323999999999998</v>
      </c>
    </row>
    <row r="41" spans="1:32" s="46" customFormat="1" ht="94.5" x14ac:dyDescent="0.25">
      <c r="A41" s="95" t="str">
        <f t="shared" si="9"/>
        <v>5d</v>
      </c>
      <c r="B41" s="236"/>
      <c r="C41" s="223"/>
      <c r="D41" s="239"/>
      <c r="E41" s="77" t="s">
        <v>44</v>
      </c>
      <c r="F41" s="79" t="s">
        <v>106</v>
      </c>
      <c r="G41" s="105" t="s">
        <v>43</v>
      </c>
      <c r="H41" s="158" t="s">
        <v>107</v>
      </c>
      <c r="I41" s="100" t="str">
        <f t="shared" si="2"/>
        <v>Oportunidad de mejora</v>
      </c>
      <c r="J41" s="97">
        <f>+IF(G41="Si",60,IF(G41="En proceso",50,40))</f>
        <v>50</v>
      </c>
      <c r="K41" s="97">
        <v>0.32500000000000001</v>
      </c>
      <c r="L41" s="97">
        <f t="shared" si="3"/>
        <v>50.325000000000003</v>
      </c>
    </row>
    <row r="42" spans="1:32" s="46" customFormat="1" ht="194.25" customHeight="1" x14ac:dyDescent="0.25">
      <c r="A42" s="95" t="str">
        <f t="shared" si="9"/>
        <v>5e</v>
      </c>
      <c r="B42" s="237"/>
      <c r="C42" s="224"/>
      <c r="D42" s="240"/>
      <c r="E42" s="80" t="s">
        <v>47</v>
      </c>
      <c r="F42" s="81" t="s">
        <v>108</v>
      </c>
      <c r="G42" s="107" t="s">
        <v>43</v>
      </c>
      <c r="H42" s="108" t="s">
        <v>109</v>
      </c>
      <c r="I42" s="101" t="str">
        <f t="shared" si="2"/>
        <v>Oportunidad de mejora</v>
      </c>
      <c r="J42" s="97">
        <f>+IF(G42="Si",60,IF(G42="En proceso",50,40))</f>
        <v>50</v>
      </c>
      <c r="K42" s="97">
        <v>0.32600000000000001</v>
      </c>
      <c r="L42" s="97">
        <f t="shared" si="3"/>
        <v>50.326000000000001</v>
      </c>
    </row>
    <row r="43" spans="1:32" s="46" customFormat="1" ht="342.75" customHeight="1" x14ac:dyDescent="0.25">
      <c r="A43" s="95" t="str">
        <f>6&amp;E43</f>
        <v>6a</v>
      </c>
      <c r="B43" s="245" t="s">
        <v>110</v>
      </c>
      <c r="C43" s="225" t="s">
        <v>111</v>
      </c>
      <c r="D43" s="242" t="s">
        <v>112</v>
      </c>
      <c r="E43" s="75" t="s">
        <v>34</v>
      </c>
      <c r="F43" s="76" t="s">
        <v>113</v>
      </c>
      <c r="G43" s="103" t="s">
        <v>36</v>
      </c>
      <c r="H43" s="156" t="s">
        <v>114</v>
      </c>
      <c r="I43" s="96" t="str">
        <f t="shared" si="2"/>
        <v>Mantenimiento del control</v>
      </c>
      <c r="J43" s="97">
        <f t="shared" ref="J43:J49" si="10">+IF(G43="Si",80,IF(G43="En proceso",70,60))</f>
        <v>80</v>
      </c>
      <c r="K43" s="97">
        <v>0.41199999999999998</v>
      </c>
      <c r="L43" s="97">
        <f t="shared" si="3"/>
        <v>80.412000000000006</v>
      </c>
    </row>
    <row r="44" spans="1:32" s="46" customFormat="1" ht="205.5" customHeight="1" x14ac:dyDescent="0.25">
      <c r="A44" s="95" t="str">
        <f t="shared" ref="A44:A49" si="11">6&amp;E44</f>
        <v>6b</v>
      </c>
      <c r="B44" s="246"/>
      <c r="C44" s="226"/>
      <c r="D44" s="243"/>
      <c r="E44" s="77" t="s">
        <v>38</v>
      </c>
      <c r="F44" s="79" t="s">
        <v>115</v>
      </c>
      <c r="G44" s="105" t="s">
        <v>36</v>
      </c>
      <c r="H44" s="156" t="s">
        <v>116</v>
      </c>
      <c r="I44" s="100" t="str">
        <f t="shared" si="2"/>
        <v>Mantenimiento del control</v>
      </c>
      <c r="J44" s="97">
        <f t="shared" si="10"/>
        <v>80</v>
      </c>
      <c r="K44" s="97">
        <v>0.4123</v>
      </c>
      <c r="L44" s="97">
        <f t="shared" si="3"/>
        <v>80.412300000000002</v>
      </c>
    </row>
    <row r="45" spans="1:32" s="46" customFormat="1" ht="99" x14ac:dyDescent="0.25">
      <c r="A45" s="95" t="str">
        <f t="shared" si="11"/>
        <v>6c</v>
      </c>
      <c r="B45" s="246"/>
      <c r="C45" s="226"/>
      <c r="D45" s="243"/>
      <c r="E45" s="77" t="s">
        <v>41</v>
      </c>
      <c r="F45" s="79" t="s">
        <v>117</v>
      </c>
      <c r="G45" s="105" t="s">
        <v>36</v>
      </c>
      <c r="H45" s="104" t="s">
        <v>118</v>
      </c>
      <c r="I45" s="100" t="str">
        <f t="shared" si="2"/>
        <v>Mantenimiento del control</v>
      </c>
      <c r="J45" s="97">
        <f t="shared" si="10"/>
        <v>80</v>
      </c>
      <c r="K45" s="97">
        <v>0.41233999999999998</v>
      </c>
      <c r="L45" s="97">
        <f t="shared" si="3"/>
        <v>80.41234</v>
      </c>
    </row>
    <row r="46" spans="1:32" s="46" customFormat="1" ht="82.5" x14ac:dyDescent="0.25">
      <c r="A46" s="95" t="str">
        <f t="shared" si="11"/>
        <v>6d</v>
      </c>
      <c r="B46" s="246"/>
      <c r="C46" s="226"/>
      <c r="D46" s="243"/>
      <c r="E46" s="77" t="s">
        <v>44</v>
      </c>
      <c r="F46" s="79" t="s">
        <v>119</v>
      </c>
      <c r="G46" s="105" t="s">
        <v>36</v>
      </c>
      <c r="H46" s="155" t="s">
        <v>120</v>
      </c>
      <c r="I46" s="100" t="str">
        <f t="shared" si="2"/>
        <v>Mantenimiento del control</v>
      </c>
      <c r="J46" s="97">
        <f t="shared" si="10"/>
        <v>80</v>
      </c>
      <c r="K46" s="97">
        <v>0.41234500000000002</v>
      </c>
      <c r="L46" s="97">
        <f t="shared" si="3"/>
        <v>80.412345000000002</v>
      </c>
    </row>
    <row r="47" spans="1:32" s="46" customFormat="1" ht="168" customHeight="1" x14ac:dyDescent="0.25">
      <c r="A47" s="95" t="str">
        <f t="shared" si="11"/>
        <v>6e</v>
      </c>
      <c r="B47" s="246"/>
      <c r="C47" s="226"/>
      <c r="D47" s="243"/>
      <c r="E47" s="77" t="s">
        <v>47</v>
      </c>
      <c r="F47" s="79" t="s">
        <v>121</v>
      </c>
      <c r="G47" s="105" t="s">
        <v>36</v>
      </c>
      <c r="H47" s="156" t="s">
        <v>122</v>
      </c>
      <c r="I47" s="100" t="str">
        <f t="shared" si="2"/>
        <v>Mantenimiento del control</v>
      </c>
      <c r="J47" s="97">
        <f t="shared" si="10"/>
        <v>80</v>
      </c>
      <c r="K47" s="97">
        <v>0.41234559999999998</v>
      </c>
      <c r="L47" s="97">
        <f t="shared" si="3"/>
        <v>80.412345599999995</v>
      </c>
    </row>
    <row r="48" spans="1:32" s="46" customFormat="1" ht="63" x14ac:dyDescent="0.25">
      <c r="A48" s="95" t="str">
        <f t="shared" si="11"/>
        <v>6f</v>
      </c>
      <c r="B48" s="246"/>
      <c r="C48" s="226"/>
      <c r="D48" s="243"/>
      <c r="E48" s="77" t="s">
        <v>50</v>
      </c>
      <c r="F48" s="79" t="s">
        <v>123</v>
      </c>
      <c r="G48" s="105" t="s">
        <v>36</v>
      </c>
      <c r="H48" s="153" t="s">
        <v>124</v>
      </c>
      <c r="I48" s="100" t="str">
        <f t="shared" si="2"/>
        <v>Mantenimiento del control</v>
      </c>
      <c r="J48" s="97">
        <f t="shared" si="10"/>
        <v>80</v>
      </c>
      <c r="K48" s="97">
        <v>0.41234567</v>
      </c>
      <c r="L48" s="97">
        <f t="shared" si="3"/>
        <v>80.412345669999993</v>
      </c>
    </row>
    <row r="49" spans="1:17" s="46" customFormat="1" ht="110.25" customHeight="1" x14ac:dyDescent="0.25">
      <c r="A49" s="95" t="str">
        <f t="shared" si="11"/>
        <v>6g</v>
      </c>
      <c r="B49" s="247"/>
      <c r="C49" s="227"/>
      <c r="D49" s="244"/>
      <c r="E49" s="80" t="s">
        <v>53</v>
      </c>
      <c r="F49" s="81" t="s">
        <v>125</v>
      </c>
      <c r="G49" s="107" t="s">
        <v>36</v>
      </c>
      <c r="H49" s="108" t="s">
        <v>126</v>
      </c>
      <c r="I49" s="101" t="str">
        <f t="shared" si="2"/>
        <v>Mantenimiento del control</v>
      </c>
      <c r="J49" s="97">
        <f t="shared" si="10"/>
        <v>80</v>
      </c>
      <c r="K49" s="97">
        <v>0.41234567799999999</v>
      </c>
      <c r="L49" s="97">
        <f t="shared" si="3"/>
        <v>80.412345677999994</v>
      </c>
    </row>
    <row r="50" spans="1:17" s="46" customFormat="1" ht="306.75" customHeight="1" x14ac:dyDescent="0.25">
      <c r="A50" s="95" t="str">
        <f>7&amp;E50</f>
        <v>7a</v>
      </c>
      <c r="B50" s="213" t="s">
        <v>127</v>
      </c>
      <c r="C50" s="228" t="s">
        <v>128</v>
      </c>
      <c r="D50" s="210" t="s">
        <v>129</v>
      </c>
      <c r="E50" s="75" t="s">
        <v>34</v>
      </c>
      <c r="F50" s="76" t="s">
        <v>130</v>
      </c>
      <c r="G50" s="103" t="s">
        <v>36</v>
      </c>
      <c r="H50" s="104" t="s">
        <v>131</v>
      </c>
      <c r="I50" s="96" t="str">
        <f t="shared" si="2"/>
        <v>Mantenimiento del control</v>
      </c>
      <c r="J50" s="97">
        <f>+IF(G50="Si",120,IF(G50="En proceso",100,80))</f>
        <v>120</v>
      </c>
      <c r="K50" s="97">
        <v>0.85099999999999998</v>
      </c>
      <c r="L50" s="97">
        <f t="shared" si="3"/>
        <v>120.851</v>
      </c>
    </row>
    <row r="51" spans="1:17" s="46" customFormat="1" ht="99" x14ac:dyDescent="0.25">
      <c r="A51" s="95" t="str">
        <f t="shared" ref="A51:A53" si="12">7&amp;E51</f>
        <v>7d</v>
      </c>
      <c r="B51" s="214"/>
      <c r="C51" s="229"/>
      <c r="D51" s="211"/>
      <c r="E51" s="77" t="s">
        <v>44</v>
      </c>
      <c r="F51" s="79" t="s">
        <v>132</v>
      </c>
      <c r="G51" s="105" t="s">
        <v>36</v>
      </c>
      <c r="H51" s="106" t="s">
        <v>133</v>
      </c>
      <c r="I51" s="100" t="str">
        <f t="shared" si="2"/>
        <v>Mantenimiento del control</v>
      </c>
      <c r="J51" s="97">
        <f t="shared" ref="J51:J59" si="13">+IF(G51="Si",120,IF(G51="En proceso",100,80))</f>
        <v>120</v>
      </c>
      <c r="K51" s="97">
        <v>0.85119999999999996</v>
      </c>
      <c r="L51" s="97">
        <f t="shared" si="3"/>
        <v>120.85120000000001</v>
      </c>
    </row>
    <row r="52" spans="1:17" s="46" customFormat="1" ht="66" x14ac:dyDescent="0.25">
      <c r="A52" s="95" t="str">
        <f t="shared" si="12"/>
        <v>7f</v>
      </c>
      <c r="B52" s="214"/>
      <c r="C52" s="229"/>
      <c r="D52" s="211"/>
      <c r="E52" s="77" t="s">
        <v>50</v>
      </c>
      <c r="F52" s="79" t="s">
        <v>134</v>
      </c>
      <c r="G52" s="105" t="s">
        <v>43</v>
      </c>
      <c r="H52" s="106" t="s">
        <v>135</v>
      </c>
      <c r="I52" s="100" t="str">
        <f t="shared" si="2"/>
        <v>Oportunidad de mejora</v>
      </c>
      <c r="J52" s="97">
        <f t="shared" si="13"/>
        <v>100</v>
      </c>
      <c r="K52" s="97">
        <v>0.85123000000000004</v>
      </c>
      <c r="L52" s="97">
        <f t="shared" si="3"/>
        <v>100.85123</v>
      </c>
    </row>
    <row r="53" spans="1:17" s="46" customFormat="1" ht="164.25" customHeight="1" x14ac:dyDescent="0.25">
      <c r="A53" s="95" t="str">
        <f t="shared" si="12"/>
        <v>7g</v>
      </c>
      <c r="B53" s="215"/>
      <c r="C53" s="230"/>
      <c r="D53" s="248"/>
      <c r="E53" s="80" t="s">
        <v>53</v>
      </c>
      <c r="F53" s="81" t="s">
        <v>136</v>
      </c>
      <c r="G53" s="107" t="s">
        <v>43</v>
      </c>
      <c r="H53" s="108" t="s">
        <v>137</v>
      </c>
      <c r="I53" s="101" t="str">
        <f t="shared" si="2"/>
        <v>Oportunidad de mejora</v>
      </c>
      <c r="J53" s="97">
        <f t="shared" si="13"/>
        <v>100</v>
      </c>
      <c r="K53" s="97">
        <v>0.85123400000000005</v>
      </c>
      <c r="L53" s="97">
        <f t="shared" si="3"/>
        <v>100.85123400000001</v>
      </c>
    </row>
    <row r="54" spans="1:17" s="46" customFormat="1" ht="102.75" customHeight="1" thickBot="1" x14ac:dyDescent="0.3">
      <c r="A54" s="95" t="str">
        <f>8&amp;E54</f>
        <v>8h</v>
      </c>
      <c r="B54" s="149" t="s">
        <v>138</v>
      </c>
      <c r="C54" s="150" t="s">
        <v>128</v>
      </c>
      <c r="D54" s="70" t="s">
        <v>139</v>
      </c>
      <c r="E54" s="75" t="s">
        <v>56</v>
      </c>
      <c r="F54" s="76" t="s">
        <v>140</v>
      </c>
      <c r="G54" s="103" t="s">
        <v>91</v>
      </c>
      <c r="H54" s="104" t="s">
        <v>141</v>
      </c>
      <c r="I54" s="96" t="str">
        <f t="shared" si="2"/>
        <v>Deficiencia de control</v>
      </c>
      <c r="J54" s="97">
        <f t="shared" si="13"/>
        <v>80</v>
      </c>
      <c r="K54" s="97">
        <v>0.85123450000000001</v>
      </c>
      <c r="L54" s="97">
        <f t="shared" si="3"/>
        <v>80.851234500000004</v>
      </c>
    </row>
    <row r="55" spans="1:17" s="46" customFormat="1" ht="54.75" customHeight="1" x14ac:dyDescent="0.25">
      <c r="A55" s="95" t="str">
        <f>9&amp;E55</f>
        <v>9a</v>
      </c>
      <c r="B55" s="213" t="s">
        <v>142</v>
      </c>
      <c r="C55" s="228" t="s">
        <v>128</v>
      </c>
      <c r="D55" s="210" t="s">
        <v>143</v>
      </c>
      <c r="E55" s="75" t="s">
        <v>34</v>
      </c>
      <c r="F55" s="76" t="s">
        <v>144</v>
      </c>
      <c r="G55" s="103" t="s">
        <v>91</v>
      </c>
      <c r="H55" s="104" t="s">
        <v>145</v>
      </c>
      <c r="I55" s="96" t="str">
        <f t="shared" si="2"/>
        <v>Deficiencia de control</v>
      </c>
      <c r="J55" s="97">
        <f t="shared" si="13"/>
        <v>80</v>
      </c>
      <c r="K55" s="102">
        <v>0.85123455999999997</v>
      </c>
      <c r="L55" s="97">
        <f t="shared" si="3"/>
        <v>80.851234559999995</v>
      </c>
      <c r="M55" s="45"/>
      <c r="N55" s="45"/>
      <c r="O55" s="45"/>
      <c r="P55" s="45"/>
      <c r="Q55" s="45"/>
    </row>
    <row r="56" spans="1:17" s="46" customFormat="1" ht="230.25" customHeight="1" x14ac:dyDescent="0.25">
      <c r="A56" s="95" t="str">
        <f t="shared" ref="A56:A59" si="14">9&amp;E56</f>
        <v>9b</v>
      </c>
      <c r="B56" s="214"/>
      <c r="C56" s="229"/>
      <c r="D56" s="211"/>
      <c r="E56" s="77" t="s">
        <v>38</v>
      </c>
      <c r="F56" s="79" t="s">
        <v>146</v>
      </c>
      <c r="G56" s="105" t="s">
        <v>43</v>
      </c>
      <c r="H56" s="106" t="s">
        <v>147</v>
      </c>
      <c r="I56" s="100" t="str">
        <f t="shared" si="2"/>
        <v>Oportunidad de mejora</v>
      </c>
      <c r="J56" s="97">
        <f t="shared" si="13"/>
        <v>100</v>
      </c>
      <c r="K56" s="102">
        <v>0.851234567</v>
      </c>
      <c r="L56" s="97">
        <f t="shared" si="3"/>
        <v>100.85123456700001</v>
      </c>
      <c r="M56" s="45"/>
      <c r="N56" s="45"/>
      <c r="O56" s="45"/>
      <c r="P56" s="45"/>
      <c r="Q56" s="45"/>
    </row>
    <row r="57" spans="1:17" s="46" customFormat="1" ht="77.25" customHeight="1" x14ac:dyDescent="0.25">
      <c r="A57" s="95" t="str">
        <f t="shared" si="14"/>
        <v>9c</v>
      </c>
      <c r="B57" s="214"/>
      <c r="C57" s="229"/>
      <c r="D57" s="211"/>
      <c r="E57" s="77" t="s">
        <v>41</v>
      </c>
      <c r="F57" s="79" t="s">
        <v>148</v>
      </c>
      <c r="G57" s="105" t="s">
        <v>91</v>
      </c>
      <c r="H57" s="106" t="s">
        <v>149</v>
      </c>
      <c r="I57" s="100" t="str">
        <f t="shared" si="2"/>
        <v>Deficiencia de control</v>
      </c>
      <c r="J57" s="97">
        <f t="shared" si="13"/>
        <v>80</v>
      </c>
      <c r="K57" s="102">
        <v>0.85123456779999995</v>
      </c>
      <c r="L57" s="97">
        <f t="shared" si="3"/>
        <v>80.851234567800006</v>
      </c>
      <c r="M57" s="45"/>
      <c r="N57" s="45"/>
      <c r="O57" s="45"/>
      <c r="P57" s="45"/>
      <c r="Q57" s="45"/>
    </row>
    <row r="58" spans="1:17" s="46" customFormat="1" ht="77.25" customHeight="1" x14ac:dyDescent="0.25">
      <c r="A58" s="95" t="str">
        <f t="shared" si="14"/>
        <v>9d</v>
      </c>
      <c r="B58" s="214"/>
      <c r="C58" s="229"/>
      <c r="D58" s="211"/>
      <c r="E58" s="77" t="s">
        <v>44</v>
      </c>
      <c r="F58" s="79" t="s">
        <v>150</v>
      </c>
      <c r="G58" s="105" t="s">
        <v>91</v>
      </c>
      <c r="H58" s="106" t="s">
        <v>151</v>
      </c>
      <c r="I58" s="100" t="str">
        <f t="shared" si="2"/>
        <v>Deficiencia de control</v>
      </c>
      <c r="J58" s="97">
        <f t="shared" si="13"/>
        <v>80</v>
      </c>
      <c r="K58" s="102">
        <v>0.85123456788999996</v>
      </c>
      <c r="L58" s="97">
        <f t="shared" si="3"/>
        <v>80.851234567890003</v>
      </c>
      <c r="M58" s="45"/>
      <c r="N58" s="45"/>
      <c r="O58" s="45"/>
      <c r="P58" s="45"/>
      <c r="Q58" s="45"/>
    </row>
    <row r="59" spans="1:17" s="46" customFormat="1" ht="77.25" customHeight="1" thickBot="1" x14ac:dyDescent="0.3">
      <c r="A59" s="95" t="str">
        <f t="shared" si="14"/>
        <v>9e</v>
      </c>
      <c r="B59" s="215"/>
      <c r="C59" s="229"/>
      <c r="D59" s="212"/>
      <c r="E59" s="80" t="s">
        <v>47</v>
      </c>
      <c r="F59" s="81" t="s">
        <v>152</v>
      </c>
      <c r="G59" s="107" t="s">
        <v>43</v>
      </c>
      <c r="H59" s="152" t="s">
        <v>153</v>
      </c>
      <c r="I59" s="101" t="str">
        <f t="shared" si="2"/>
        <v>Oportunidad de mejora</v>
      </c>
      <c r="J59" s="97">
        <f t="shared" si="13"/>
        <v>100</v>
      </c>
      <c r="K59" s="102">
        <v>0.85123456789100005</v>
      </c>
      <c r="L59" s="97">
        <f t="shared" si="3"/>
        <v>100.851234567891</v>
      </c>
      <c r="M59" s="45"/>
      <c r="N59" s="45"/>
      <c r="O59" s="45"/>
      <c r="P59" s="45"/>
      <c r="Q59" s="45"/>
    </row>
  </sheetData>
  <sheetProtection algorithmName="SHA-512" hashValue="3f8q67IhQ+195mCCu45JxrnKZ5NQYpYn/4DMJ1qNlLoW+1h5DdlwjNz0RDsqicEeH5OxPhf5j92R5BAeBl6Iaw==" saltValue="5vY6GrPfNxnRatmVvJafnA==" spinCount="100000" sheet="1" objects="1" scenarios="1" formatCells="0" formatColumns="0" formatRows="0"/>
  <mergeCells count="25">
    <mergeCell ref="B14:I14"/>
    <mergeCell ref="D43:D49"/>
    <mergeCell ref="B43:B49"/>
    <mergeCell ref="D50:D53"/>
    <mergeCell ref="B50:B53"/>
    <mergeCell ref="D16:D27"/>
    <mergeCell ref="B16:B27"/>
    <mergeCell ref="B28:B31"/>
    <mergeCell ref="D28:D31"/>
    <mergeCell ref="D55:D59"/>
    <mergeCell ref="B55:B59"/>
    <mergeCell ref="C16:C27"/>
    <mergeCell ref="C28:C31"/>
    <mergeCell ref="C38:C42"/>
    <mergeCell ref="C43:C49"/>
    <mergeCell ref="C50:C53"/>
    <mergeCell ref="C32:C34"/>
    <mergeCell ref="C35:C37"/>
    <mergeCell ref="C55:C59"/>
    <mergeCell ref="D32:D34"/>
    <mergeCell ref="B32:B34"/>
    <mergeCell ref="B35:B37"/>
    <mergeCell ref="D35:D37"/>
    <mergeCell ref="B38:B42"/>
    <mergeCell ref="D38:D42"/>
  </mergeCells>
  <dataValidations count="2">
    <dataValidation type="list" allowBlank="1" showInputMessage="1" showErrorMessage="1" sqref="G55:G59 G16:G53" xr:uid="{00000000-0002-0000-0100-000000000000}">
      <formula1>"Si, No, En proceso"</formula1>
    </dataValidation>
    <dataValidation type="list" allowBlank="1" showInputMessage="1" showErrorMessage="1" sqref="G54" xr:uid="{00000000-0002-0000-0100-000001000000}">
      <formula1>"Si, No"</formula1>
    </dataValidation>
  </dataValidation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74"/>
  <sheetViews>
    <sheetView tabSelected="1" zoomScale="80" zoomScaleNormal="80" workbookViewId="0">
      <selection activeCell="C62" sqref="C62"/>
    </sheetView>
  </sheetViews>
  <sheetFormatPr baseColWidth="10" defaultColWidth="11.42578125" defaultRowHeight="15" x14ac:dyDescent="0.25"/>
  <cols>
    <col min="3" max="3" width="22.85546875" customWidth="1"/>
    <col min="4" max="4" width="22.5703125" customWidth="1"/>
    <col min="5" max="5" width="53.42578125" customWidth="1"/>
    <col min="7" max="7" width="28.28515625" customWidth="1"/>
    <col min="8" max="8" width="4.85546875" customWidth="1"/>
    <col min="9" max="9" width="15.28515625" customWidth="1"/>
    <col min="10" max="10" width="22.42578125" customWidth="1"/>
    <col min="11" max="29" width="11.42578125" style="1"/>
  </cols>
  <sheetData>
    <row r="1" spans="1:11" x14ac:dyDescent="0.25">
      <c r="A1" s="1"/>
      <c r="B1" s="1"/>
      <c r="C1" s="1"/>
      <c r="D1" s="1"/>
      <c r="E1" s="1"/>
      <c r="F1" s="1"/>
      <c r="G1" s="1"/>
      <c r="H1" s="1"/>
      <c r="I1" s="1"/>
      <c r="J1" s="1"/>
    </row>
    <row r="2" spans="1:11" s="1" customFormat="1" x14ac:dyDescent="0.25"/>
    <row r="3" spans="1:11" s="1" customFormat="1" x14ac:dyDescent="0.25"/>
    <row r="4" spans="1:11" x14ac:dyDescent="0.25">
      <c r="A4" s="1"/>
      <c r="B4" s="1"/>
      <c r="C4" s="1"/>
      <c r="D4" s="1"/>
      <c r="E4" s="1"/>
      <c r="F4" s="1"/>
      <c r="G4" s="1"/>
      <c r="H4" s="1"/>
      <c r="I4" s="1"/>
      <c r="J4" s="1"/>
    </row>
    <row r="5" spans="1:11" x14ac:dyDescent="0.25">
      <c r="A5" s="1"/>
      <c r="B5" s="1"/>
      <c r="C5" s="1"/>
      <c r="D5" s="1"/>
      <c r="E5" s="1"/>
      <c r="F5" s="1"/>
      <c r="G5" s="1"/>
      <c r="H5" s="1"/>
      <c r="I5" s="1"/>
      <c r="J5" s="1"/>
    </row>
    <row r="6" spans="1:11" ht="15.75" thickBot="1" x14ac:dyDescent="0.3">
      <c r="A6" s="1"/>
      <c r="B6" s="1"/>
      <c r="C6" s="1"/>
      <c r="D6" s="1"/>
      <c r="E6" s="1"/>
      <c r="F6" s="1"/>
      <c r="G6" s="1"/>
      <c r="H6" s="1"/>
      <c r="I6" s="1"/>
      <c r="J6" s="1"/>
    </row>
    <row r="7" spans="1:11" ht="26.25" thickBot="1" x14ac:dyDescent="0.3">
      <c r="A7" s="1"/>
      <c r="B7" s="1"/>
      <c r="C7" s="291" t="s">
        <v>154</v>
      </c>
      <c r="D7" s="292"/>
      <c r="E7" s="292"/>
      <c r="F7" s="292"/>
      <c r="G7" s="292"/>
      <c r="H7" s="292"/>
      <c r="I7" s="292"/>
      <c r="J7" s="292"/>
      <c r="K7" s="293"/>
    </row>
    <row r="8" spans="1:11" s="1" customFormat="1" ht="15.75" thickBot="1" x14ac:dyDescent="0.3">
      <c r="C8" s="36"/>
      <c r="D8" s="36"/>
      <c r="E8" s="37"/>
      <c r="F8" s="37"/>
      <c r="G8" s="37"/>
      <c r="H8" s="37"/>
      <c r="I8" s="47"/>
      <c r="J8" s="37"/>
      <c r="K8" s="37"/>
    </row>
    <row r="9" spans="1:11" ht="21" thickBot="1" x14ac:dyDescent="0.3">
      <c r="A9" s="1"/>
      <c r="B9" s="1"/>
      <c r="C9" s="193" t="s">
        <v>15</v>
      </c>
      <c r="D9" s="194"/>
      <c r="E9" s="194" t="s">
        <v>16</v>
      </c>
      <c r="F9" s="205"/>
      <c r="G9" s="37"/>
      <c r="H9" s="37"/>
      <c r="I9" s="47"/>
      <c r="J9" s="37"/>
      <c r="K9" s="37"/>
    </row>
    <row r="10" spans="1:11" ht="54" customHeight="1" x14ac:dyDescent="0.25">
      <c r="A10" s="1"/>
      <c r="B10" s="1"/>
      <c r="C10" s="206" t="s">
        <v>17</v>
      </c>
      <c r="D10" s="207"/>
      <c r="E10" s="208" t="s">
        <v>18</v>
      </c>
      <c r="F10" s="209"/>
      <c r="G10" s="38"/>
      <c r="H10" s="39">
        <v>1</v>
      </c>
      <c r="I10" s="47"/>
      <c r="J10" s="37"/>
      <c r="K10" s="37"/>
    </row>
    <row r="11" spans="1:11" ht="46.5" customHeight="1" x14ac:dyDescent="0.25">
      <c r="A11" s="1"/>
      <c r="B11" s="1"/>
      <c r="C11" s="195" t="s">
        <v>19</v>
      </c>
      <c r="D11" s="196"/>
      <c r="E11" s="197" t="s">
        <v>155</v>
      </c>
      <c r="F11" s="198"/>
      <c r="G11" s="40" t="s">
        <v>156</v>
      </c>
      <c r="H11" s="39">
        <v>0.75</v>
      </c>
      <c r="I11" s="47"/>
      <c r="J11" s="37"/>
      <c r="K11" s="37"/>
    </row>
    <row r="12" spans="1:11" ht="70.5" customHeight="1" thickBot="1" x14ac:dyDescent="0.3">
      <c r="A12" s="1"/>
      <c r="B12" s="1"/>
      <c r="C12" s="199" t="s">
        <v>21</v>
      </c>
      <c r="D12" s="200"/>
      <c r="E12" s="201" t="s">
        <v>157</v>
      </c>
      <c r="F12" s="202"/>
      <c r="G12" s="41"/>
      <c r="H12" s="39">
        <v>0.25</v>
      </c>
      <c r="I12" s="47"/>
      <c r="J12" s="37"/>
      <c r="K12" s="37"/>
    </row>
    <row r="13" spans="1:11" s="1" customFormat="1" x14ac:dyDescent="0.25"/>
    <row r="14" spans="1:11" s="1" customFormat="1" x14ac:dyDescent="0.25"/>
    <row r="15" spans="1:11" s="1" customFormat="1" x14ac:dyDescent="0.25"/>
    <row r="16" spans="1:11" s="1" customFormat="1" ht="15.75" thickBot="1" x14ac:dyDescent="0.3"/>
    <row r="17" spans="1:10" x14ac:dyDescent="0.25">
      <c r="A17" s="1"/>
      <c r="B17" s="1"/>
      <c r="C17" s="283" t="s">
        <v>158</v>
      </c>
      <c r="D17" s="285" t="s">
        <v>159</v>
      </c>
      <c r="E17" s="286"/>
      <c r="F17" s="287" t="s">
        <v>160</v>
      </c>
      <c r="G17" s="289" t="s">
        <v>161</v>
      </c>
      <c r="H17" s="35"/>
      <c r="I17" s="278" t="s">
        <v>162</v>
      </c>
      <c r="J17" s="278" t="s">
        <v>163</v>
      </c>
    </row>
    <row r="18" spans="1:10" ht="36" customHeight="1" thickBot="1" x14ac:dyDescent="0.3">
      <c r="A18" s="1"/>
      <c r="B18" s="1"/>
      <c r="C18" s="284"/>
      <c r="D18" s="109" t="s">
        <v>164</v>
      </c>
      <c r="E18" s="110" t="s">
        <v>27</v>
      </c>
      <c r="F18" s="288"/>
      <c r="G18" s="290"/>
      <c r="H18" s="35"/>
      <c r="I18" s="279"/>
      <c r="J18" s="279"/>
    </row>
    <row r="19" spans="1:10" ht="65.25" customHeight="1" x14ac:dyDescent="0.25">
      <c r="A19" s="1"/>
      <c r="B19" s="1"/>
      <c r="C19" s="128">
        <v>1</v>
      </c>
      <c r="D19" s="280" t="s">
        <v>32</v>
      </c>
      <c r="E19" s="111" t="str">
        <f>+IFERROR(INDEX(Hoja1!$E$2:$E$45,MATCH('Análisis Resultados'!C19,Hoja1!$H$2:$H$45,0)),"")</f>
        <v>Planes, programas y proyectos de acuerdo con las normas que rigen y atendiendo con su propósito fundamental institucional (misión)</v>
      </c>
      <c r="F19" s="112" t="str">
        <f>+IFERROR(VLOOKUP(C19,Hoja1!$H$2:$I$45,2,0),"")</f>
        <v>En proceso</v>
      </c>
      <c r="G19" s="113" t="str">
        <f>+IF(F19="Si","Existe requerimiento pero se requiere actividades  dirigidas a su mantenimiento dentro del marco de las lineas de defensa.",IF(F19="En proceso","Se encuentra en proceso, pero requiere continuar con acciones dirigidas a contar con dicho aspecto de control.","No se encuentra el aspecto  por lo tanto la entidad debera generar acciones dirigidas a que se cumpla con el requerimiento."))</f>
        <v>Se encuentra en proceso, pero requiere continuar con acciones dirigidas a contar con dicho aspecto de control.</v>
      </c>
      <c r="I19" s="129">
        <f>+IF(F19="Si",1,IF(F19="En proceso",0.5,0))</f>
        <v>0.5</v>
      </c>
      <c r="J19" s="262">
        <f>+AVERAGE(I19:I30)</f>
        <v>0.79166666666666663</v>
      </c>
    </row>
    <row r="20" spans="1:10" ht="42.75" x14ac:dyDescent="0.25">
      <c r="A20" s="1"/>
      <c r="B20" s="1"/>
      <c r="C20" s="128">
        <v>2</v>
      </c>
      <c r="D20" s="281"/>
      <c r="E20" s="114" t="str">
        <f>+IFERROR(INDEX(Hoja1!$E$2:$E$45,MATCH('Análisis Resultados'!C20,Hoja1!$H$2:$H$45,0)),"")</f>
        <v>La documentación de sus procesos y procedimientos o bien una lista de actividades principales que permitan conocer el estado de su gestión</v>
      </c>
      <c r="F20" s="115" t="str">
        <f>+IFERROR(VLOOKUP(C20,Hoja1!$H$2:$I$45,2,0),"")</f>
        <v>En proceso</v>
      </c>
      <c r="G20" s="116" t="str">
        <f t="shared" ref="G20:G62" si="0">+IF(F20="Si","Existe requerimiento pero se requiere actividades  dirigidas a su mantenimiento dentro del marco de las lineas de defensa.",IF(F20="En proceso","Se encuentra en proceso, pero requiere continuar con acciones dirigidas a contar con dicho aspecto de control.","No se encuentra el aspecto  por lo tanto la entidad debera generar acciones dirigidas a que se cumpla con el requerimiento."))</f>
        <v>Se encuentra en proceso, pero requiere continuar con acciones dirigidas a contar con dicho aspecto de control.</v>
      </c>
      <c r="I20" s="130">
        <f t="shared" ref="I20:I62" si="1">+IF(F20="Si",1,IF(F20="En proceso",0.5,0))</f>
        <v>0.5</v>
      </c>
      <c r="J20" s="263"/>
    </row>
    <row r="21" spans="1:10" ht="42.75" x14ac:dyDescent="0.25">
      <c r="A21" s="1"/>
      <c r="B21" s="1"/>
      <c r="C21" s="128">
        <v>3</v>
      </c>
      <c r="D21" s="281"/>
      <c r="E21" s="114" t="str">
        <f>+IFERROR(INDEX(Hoja1!$E$2:$E$45,MATCH('Análisis Resultados'!C21,Hoja1!$H$2:$H$45,0)),"")</f>
        <v>Procesos de inducción, capacitación y bienestar social para sus servidores públicos, de manera directa o en asociación con otras entidades municipales</v>
      </c>
      <c r="F21" s="115" t="str">
        <f>+IFERROR(VLOOKUP(C21,Hoja1!$H$2:$I$45,2,0),"")</f>
        <v>En proceso</v>
      </c>
      <c r="G21" s="116" t="str">
        <f t="shared" si="0"/>
        <v>Se encuentra en proceso, pero requiere continuar con acciones dirigidas a contar con dicho aspecto de control.</v>
      </c>
      <c r="I21" s="130">
        <f t="shared" si="1"/>
        <v>0.5</v>
      </c>
      <c r="J21" s="263"/>
    </row>
    <row r="22" spans="1:10" ht="56.25" customHeight="1" x14ac:dyDescent="0.25">
      <c r="A22" s="1"/>
      <c r="B22" s="1"/>
      <c r="C22" s="128">
        <v>4</v>
      </c>
      <c r="D22" s="281"/>
      <c r="E22" s="114" t="str">
        <f>+IFERROR(INDEX(Hoja1!$E$2:$E$45,MATCH('Análisis Resultados'!C22,Hoja1!$H$2:$H$45,0)),"")</f>
        <v>Evaluación a los servidores públicos de acuerdo con el marco normativo que le rige</v>
      </c>
      <c r="F22" s="115" t="str">
        <f>+IFERROR(VLOOKUP(C22,Hoja1!$H$2:$I$45,2,0),"")</f>
        <v>En proceso</v>
      </c>
      <c r="G22" s="116" t="str">
        <f t="shared" si="0"/>
        <v>Se encuentra en proceso, pero requiere continuar con acciones dirigidas a contar con dicho aspecto de control.</v>
      </c>
      <c r="I22" s="130">
        <f t="shared" si="1"/>
        <v>0.5</v>
      </c>
      <c r="J22" s="263"/>
    </row>
    <row r="23" spans="1:10" ht="33.75" x14ac:dyDescent="0.25">
      <c r="A23" s="1"/>
      <c r="B23" s="1"/>
      <c r="C23" s="128">
        <v>5</v>
      </c>
      <c r="D23" s="281"/>
      <c r="E23" s="114" t="str">
        <f>+IFERROR(INDEX(Hoja1!$E$2:$E$45,MATCH('Análisis Resultados'!C23,Hoja1!$H$2:$H$45,0)),"")</f>
        <v>Mecanismos de rendición de cuentas a la ciudadanía</v>
      </c>
      <c r="F23" s="115" t="str">
        <f>+IFERROR(VLOOKUP(C23,Hoja1!$H$2:$I$45,2,0),"")</f>
        <v>En proceso</v>
      </c>
      <c r="G23" s="116" t="str">
        <f t="shared" si="0"/>
        <v>Se encuentra en proceso, pero requiere continuar con acciones dirigidas a contar con dicho aspecto de control.</v>
      </c>
      <c r="I23" s="130">
        <f t="shared" si="1"/>
        <v>0.5</v>
      </c>
      <c r="J23" s="263"/>
    </row>
    <row r="24" spans="1:10" ht="45" x14ac:dyDescent="0.25">
      <c r="A24" s="1"/>
      <c r="B24" s="1"/>
      <c r="C24" s="128">
        <v>6</v>
      </c>
      <c r="D24" s="281"/>
      <c r="E24" s="114" t="str">
        <f>+IFERROR(INDEX(Hoja1!$E$2:$E$45,MATCH('Análisis Resultados'!C24,Hoja1!$H$2:$H$45,0)),"")</f>
        <v>Documento interno o adopción del MECI actualizado</v>
      </c>
      <c r="F24" s="115" t="str">
        <f>+IFERROR(VLOOKUP(C24,Hoja1!$H$2:$I$45,2,0),"")</f>
        <v>Si</v>
      </c>
      <c r="G24" s="116" t="str">
        <f t="shared" si="0"/>
        <v>Existe requerimiento pero se requiere actividades  dirigidas a su mantenimiento dentro del marco de las lineas de defensa.</v>
      </c>
      <c r="I24" s="130">
        <f t="shared" si="1"/>
        <v>1</v>
      </c>
      <c r="J24" s="263"/>
    </row>
    <row r="25" spans="1:10" ht="57" x14ac:dyDescent="0.25">
      <c r="A25" s="1"/>
      <c r="B25" s="1"/>
      <c r="C25" s="128">
        <v>7</v>
      </c>
      <c r="D25" s="281"/>
      <c r="E25" s="114" t="str">
        <f>+IFERROR(INDEX(Hoja1!$E$2:$E$45,MATCH('Análisis Resultados'!C25,Hoja1!$H$2:$H$45,0)),"")</f>
        <v>Un documento tal como un código de ética, integridad u otro que formalice los estándares de conducta, los principios institucionales o los valores del servicio público</v>
      </c>
      <c r="F25" s="115" t="str">
        <f>+IFERROR(VLOOKUP(C25,Hoja1!$H$2:$I$45,2,0),"")</f>
        <v>Si</v>
      </c>
      <c r="G25" s="116" t="str">
        <f t="shared" si="0"/>
        <v>Existe requerimiento pero se requiere actividades  dirigidas a su mantenimiento dentro del marco de las lineas de defensa.</v>
      </c>
      <c r="I25" s="130">
        <f t="shared" si="1"/>
        <v>1</v>
      </c>
      <c r="J25" s="263"/>
    </row>
    <row r="26" spans="1:10" ht="45" x14ac:dyDescent="0.25">
      <c r="A26" s="1"/>
      <c r="B26" s="1"/>
      <c r="C26" s="128">
        <v>8</v>
      </c>
      <c r="D26" s="281"/>
      <c r="E26" s="114" t="str">
        <f>+IFERROR(INDEX(Hoja1!$E$2:$E$45,MATCH('Análisis Resultados'!C26,Hoja1!$H$2:$H$45,0)),"")</f>
        <v>Una estructura organizacional formalizada (organigrama)</v>
      </c>
      <c r="F26" s="115" t="str">
        <f>+IFERROR(VLOOKUP(C26,Hoja1!$H$2:$I$45,2,0),"")</f>
        <v>Si</v>
      </c>
      <c r="G26" s="116" t="str">
        <f t="shared" si="0"/>
        <v>Existe requerimiento pero se requiere actividades  dirigidas a su mantenimiento dentro del marco de las lineas de defensa.</v>
      </c>
      <c r="I26" s="130">
        <f t="shared" si="1"/>
        <v>1</v>
      </c>
      <c r="J26" s="263"/>
    </row>
    <row r="27" spans="1:10" ht="45" x14ac:dyDescent="0.25">
      <c r="A27" s="1"/>
      <c r="B27" s="1"/>
      <c r="C27" s="128">
        <v>9</v>
      </c>
      <c r="D27" s="281"/>
      <c r="E27" s="114" t="str">
        <f>+IFERROR(INDEX(Hoja1!$E$2:$E$45,MATCH('Análisis Resultados'!C27,Hoja1!$H$2:$H$45,0)),"")</f>
        <v>Un manual de funciones que describa los empleos de la entidad</v>
      </c>
      <c r="F27" s="115" t="str">
        <f>+IFERROR(VLOOKUP(C27,Hoja1!$H$2:$I$45,2,0),"")</f>
        <v>Si</v>
      </c>
      <c r="G27" s="116" t="str">
        <f t="shared" si="0"/>
        <v>Existe requerimiento pero se requiere actividades  dirigidas a su mantenimiento dentro del marco de las lineas de defensa.</v>
      </c>
      <c r="I27" s="130">
        <f t="shared" si="1"/>
        <v>1</v>
      </c>
      <c r="J27" s="263"/>
    </row>
    <row r="28" spans="1:10" ht="45" x14ac:dyDescent="0.25">
      <c r="A28" s="1"/>
      <c r="B28" s="1"/>
      <c r="C28" s="128">
        <v>10</v>
      </c>
      <c r="D28" s="281"/>
      <c r="E28" s="114" t="str">
        <f>+IFERROR(INDEX(Hoja1!$E$2:$E$45,MATCH('Análisis Resultados'!C28,Hoja1!$H$2:$H$45,0)),"")</f>
        <v>Vinculación de los servidores públicos de acuerdo con el marco normativo que les rige (carrera administrativa, libre nombramiento y remoción, entre otros)</v>
      </c>
      <c r="F28" s="115" t="str">
        <f>+IFERROR(VLOOKUP(C28,Hoja1!$H$2:$I$45,2,0),"")</f>
        <v>Si</v>
      </c>
      <c r="G28" s="116" t="str">
        <f t="shared" si="0"/>
        <v>Existe requerimiento pero se requiere actividades  dirigidas a su mantenimiento dentro del marco de las lineas de defensa.</v>
      </c>
      <c r="I28" s="130">
        <f t="shared" si="1"/>
        <v>1</v>
      </c>
      <c r="J28" s="263"/>
    </row>
    <row r="29" spans="1:10" ht="45" x14ac:dyDescent="0.25">
      <c r="A29" s="1"/>
      <c r="B29" s="1"/>
      <c r="C29" s="128">
        <v>11</v>
      </c>
      <c r="D29" s="281"/>
      <c r="E29" s="114" t="str">
        <f>+IFERROR(INDEX(Hoja1!$E$2:$E$45,MATCH('Análisis Resultados'!C29,Hoja1!$H$2:$H$45,0)),"")</f>
        <v>Procesos de desvinculación de servidores de acuerdo con lo previsto en la Constitución Política y las leyes</v>
      </c>
      <c r="F29" s="115" t="str">
        <f>+IFERROR(VLOOKUP(C29,Hoja1!$H$2:$I$45,2,0),"")</f>
        <v>Si</v>
      </c>
      <c r="G29" s="116" t="str">
        <f>+IF(F29="Si","Existe requerimiento pero se requiere actividades  dirigidas a su mantenimiento dentro del marco de las lineas de defensa.",IF(F29="En proceso","Se encuentra en proceso, pero requiere continuar con acciones dirigidas a contar con dicho aspecto de control.","No se encuentra el aspecto  por lo tanto la entidad debera generar acciones dirigidas a que se cumpla con el requerimiento."))</f>
        <v>Existe requerimiento pero se requiere actividades  dirigidas a su mantenimiento dentro del marco de las lineas de defensa.</v>
      </c>
      <c r="I29" s="130">
        <f t="shared" si="1"/>
        <v>1</v>
      </c>
      <c r="J29" s="263"/>
    </row>
    <row r="30" spans="1:10" ht="45.75" thickBot="1" x14ac:dyDescent="0.3">
      <c r="A30" s="1"/>
      <c r="B30" s="1"/>
      <c r="C30" s="128">
        <v>12</v>
      </c>
      <c r="D30" s="282"/>
      <c r="E30" s="117" t="str">
        <f>+IFERROR(INDEX(Hoja1!$E$2:$E$45,MATCH('Análisis Resultados'!C30,Hoja1!$H$2:$H$45,0)),"")</f>
        <v>Presentación oportuna de sus informes de gestión a las autoridades competentes</v>
      </c>
      <c r="F30" s="118" t="str">
        <f>+IFERROR(VLOOKUP(C30,Hoja1!$H$2:$I$45,2,0),"")</f>
        <v>Si</v>
      </c>
      <c r="G30" s="119" t="str">
        <f t="shared" si="0"/>
        <v>Existe requerimiento pero se requiere actividades  dirigidas a su mantenimiento dentro del marco de las lineas de defensa.</v>
      </c>
      <c r="I30" s="131">
        <f t="shared" si="1"/>
        <v>1</v>
      </c>
      <c r="J30" s="264"/>
    </row>
    <row r="31" spans="1:10" ht="45" customHeight="1" x14ac:dyDescent="0.25">
      <c r="A31" s="1"/>
      <c r="B31" s="1"/>
      <c r="C31" s="128">
        <v>13</v>
      </c>
      <c r="D31" s="276" t="s">
        <v>70</v>
      </c>
      <c r="E31" s="111" t="str">
        <f>+IFERROR(INDEX(Hoja1!$E$2:$E$45,MATCH('Análisis Resultados'!C31,Hoja1!$H$2:$H$45,0)),"")</f>
        <v>Se definen espacios de reunión para conocerlos y proponer acciones para su solución</v>
      </c>
      <c r="F31" s="112" t="str">
        <f>+IFERROR(VLOOKUP(C31,Hoja1!$H$2:$I$45,2,0),"")</f>
        <v>No</v>
      </c>
      <c r="G31" s="113" t="str">
        <f t="shared" si="0"/>
        <v>No se encuentra el aspecto  por lo tanto la entidad debera generar acciones dirigidas a que se cumpla con el requerimiento.</v>
      </c>
      <c r="I31" s="129">
        <f t="shared" si="1"/>
        <v>0</v>
      </c>
      <c r="J31" s="260">
        <f>+AVERAGE(I31:I40)</f>
        <v>0.45</v>
      </c>
    </row>
    <row r="32" spans="1:10" ht="57" customHeight="1" x14ac:dyDescent="0.25">
      <c r="A32" s="1"/>
      <c r="B32" s="1"/>
      <c r="C32" s="128">
        <v>14</v>
      </c>
      <c r="D32" s="277"/>
      <c r="E32" s="114" t="str">
        <f>+IFERROR(INDEX(Hoja1!$E$2:$E$45,MATCH('Análisis Resultados'!C32,Hoja1!$H$2:$H$45,0)),"")</f>
        <v>Solamente hasta que un organismo de control actúa se definen acciones de mejora.</v>
      </c>
      <c r="F32" s="115" t="str">
        <f>+IFERROR(VLOOKUP(C32,Hoja1!$H$2:$I$45,2,0),"")</f>
        <v>No</v>
      </c>
      <c r="G32" s="116" t="str">
        <f t="shared" si="0"/>
        <v>No se encuentra el aspecto  por lo tanto la entidad debera generar acciones dirigidas a que se cumpla con el requerimiento.</v>
      </c>
      <c r="I32" s="130">
        <f t="shared" si="1"/>
        <v>0</v>
      </c>
      <c r="J32" s="261"/>
    </row>
    <row r="33" spans="1:10" ht="54" customHeight="1" x14ac:dyDescent="0.25">
      <c r="A33" s="1"/>
      <c r="B33" s="1"/>
      <c r="C33" s="128">
        <v>15</v>
      </c>
      <c r="D33" s="277"/>
      <c r="E33" s="114" t="str">
        <f>+IFERROR(INDEX(Hoja1!$E$2:$E$45,MATCH('Análisis Resultados'!C33,Hoja1!$H$2:$H$45,0)),"")</f>
        <v>La identificación de aquellos problemas o aspectos que pueden afectar el cumplimiento de los planes de la entidad y en general su gestión institucional (riesgos)</v>
      </c>
      <c r="F33" s="115" t="str">
        <f>+IFERROR(VLOOKUP(C33,Hoja1!$H$2:$I$45,2,0),"")</f>
        <v>En proceso</v>
      </c>
      <c r="G33" s="116" t="str">
        <f t="shared" si="0"/>
        <v>Se encuentra en proceso, pero requiere continuar con acciones dirigidas a contar con dicho aspecto de control.</v>
      </c>
      <c r="I33" s="130">
        <f t="shared" si="1"/>
        <v>0.5</v>
      </c>
      <c r="J33" s="261"/>
    </row>
    <row r="34" spans="1:10" ht="42.75" x14ac:dyDescent="0.25">
      <c r="A34" s="1"/>
      <c r="B34" s="1"/>
      <c r="C34" s="128">
        <v>16</v>
      </c>
      <c r="D34" s="277"/>
      <c r="E34" s="114" t="str">
        <f>+IFERROR(INDEX(Hoja1!$E$2:$E$45,MATCH('Análisis Resultados'!C34,Hoja1!$H$2:$H$45,0)),"")</f>
        <v>La identificación  de los riesgos relacionados con posibles actos de corrupción en el ejercicio de sus funciones</v>
      </c>
      <c r="F34" s="115" t="str">
        <f>+IFERROR(VLOOKUP(C34,Hoja1!$H$2:$I$45,2,0),"")</f>
        <v>En proceso</v>
      </c>
      <c r="G34" s="116" t="str">
        <f t="shared" si="0"/>
        <v>Se encuentra en proceso, pero requiere continuar con acciones dirigidas a contar con dicho aspecto de control.</v>
      </c>
      <c r="I34" s="130">
        <f t="shared" si="1"/>
        <v>0.5</v>
      </c>
      <c r="J34" s="261"/>
    </row>
    <row r="35" spans="1:10" ht="67.5" customHeight="1" x14ac:dyDescent="0.25">
      <c r="A35" s="1"/>
      <c r="B35" s="1"/>
      <c r="C35" s="128">
        <v>17</v>
      </c>
      <c r="D35" s="277"/>
      <c r="E35" s="114" t="str">
        <f>+IFERROR(INDEX(Hoja1!$E$2:$E$45,MATCH('Análisis Resultados'!C35,Hoja1!$H$2:$H$45,0)),"")</f>
        <v>Si su capacidad e infraestructura lo permite, identificación de riesgos asociados a las tecnologías de la información y las comunicaciones</v>
      </c>
      <c r="F35" s="115" t="str">
        <f>+IFERROR(VLOOKUP(C35,Hoja1!$H$2:$I$45,2,0),"")</f>
        <v>En proceso</v>
      </c>
      <c r="G35" s="116" t="str">
        <f t="shared" si="0"/>
        <v>Se encuentra en proceso, pero requiere continuar con acciones dirigidas a contar con dicho aspecto de control.</v>
      </c>
      <c r="I35" s="130">
        <f t="shared" si="1"/>
        <v>0.5</v>
      </c>
      <c r="J35" s="261"/>
    </row>
    <row r="36" spans="1:10" ht="42.75" x14ac:dyDescent="0.25">
      <c r="A36" s="1"/>
      <c r="B36" s="1"/>
      <c r="C36" s="128">
        <v>18</v>
      </c>
      <c r="D36" s="277"/>
      <c r="E36" s="114" t="str">
        <f>+IFERROR(INDEX(Hoja1!$E$2:$E$45,MATCH('Análisis Resultados'!C36,Hoja1!$H$2:$H$45,0)),"")</f>
        <v>Hacen seguimiento a los problemas (riesgos)  que pueden afectar el cumplimiento de sus procesos, programas o proyectos a cargo</v>
      </c>
      <c r="F36" s="115" t="str">
        <f>+IFERROR(VLOOKUP(C36,Hoja1!$H$2:$I$45,2,0),"")</f>
        <v>En proceso</v>
      </c>
      <c r="G36" s="116" t="str">
        <f t="shared" si="0"/>
        <v>Se encuentra en proceso, pero requiere continuar con acciones dirigidas a contar con dicho aspecto de control.</v>
      </c>
      <c r="I36" s="130">
        <f t="shared" si="1"/>
        <v>0.5</v>
      </c>
      <c r="J36" s="261"/>
    </row>
    <row r="37" spans="1:10" ht="57" customHeight="1" x14ac:dyDescent="0.25">
      <c r="A37" s="1"/>
      <c r="B37" s="1"/>
      <c r="C37" s="128">
        <v>19</v>
      </c>
      <c r="D37" s="277"/>
      <c r="E37" s="114" t="str">
        <f>+IFERROR(INDEX(Hoja1!$E$2:$E$45,MATCH('Análisis Resultados'!C37,Hoja1!$H$2:$H$45,0)),"")</f>
        <v>Informan de manera periódica a quien corresponda sobre el desempeño de las actividades de gestión de riesgos</v>
      </c>
      <c r="F37" s="115" t="str">
        <f>+IFERROR(VLOOKUP(C37,Hoja1!$H$2:$I$45,2,0),"")</f>
        <v>En proceso</v>
      </c>
      <c r="G37" s="116" t="str">
        <f t="shared" si="0"/>
        <v>Se encuentra en proceso, pero requiere continuar con acciones dirigidas a contar con dicho aspecto de control.</v>
      </c>
      <c r="I37" s="130">
        <f t="shared" si="1"/>
        <v>0.5</v>
      </c>
      <c r="J37" s="261"/>
    </row>
    <row r="38" spans="1:10" ht="42.75" x14ac:dyDescent="0.25">
      <c r="A38" s="1"/>
      <c r="B38" s="1"/>
      <c r="C38" s="128">
        <v>20</v>
      </c>
      <c r="D38" s="277"/>
      <c r="E38" s="114" t="str">
        <f>+IFERROR(INDEX(Hoja1!$E$2:$E$45,MATCH('Análisis Resultados'!C38,Hoja1!$H$2:$H$45,0)),"")</f>
        <v>Identifican deficiencias en las maneras de  controlar los riesgos o problemas en sus procesos, programas o proyectos, y propone los ajustes necesarios</v>
      </c>
      <c r="F38" s="115" t="str">
        <f>+IFERROR(VLOOKUP(C38,Hoja1!$H$2:$I$45,2,0),"")</f>
        <v>En proceso</v>
      </c>
      <c r="G38" s="116" t="str">
        <f t="shared" si="0"/>
        <v>Se encuentra en proceso, pero requiere continuar con acciones dirigidas a contar con dicho aspecto de control.</v>
      </c>
      <c r="I38" s="130">
        <f t="shared" si="1"/>
        <v>0.5</v>
      </c>
      <c r="J38" s="261"/>
    </row>
    <row r="39" spans="1:10" ht="33.75" x14ac:dyDescent="0.25">
      <c r="A39" s="1"/>
      <c r="B39" s="1"/>
      <c r="C39" s="128">
        <v>21</v>
      </c>
      <c r="D39" s="277"/>
      <c r="E39" s="114" t="str">
        <f>+IFERROR(INDEX(Hoja1!$E$2:$E$45,MATCH('Análisis Resultados'!C39,Hoja1!$H$2:$H$45,0)),"")</f>
        <v>Cada líder del equipo autónomamente toma las acciones para solucionarlos.</v>
      </c>
      <c r="F39" s="115" t="str">
        <f>+IFERROR(VLOOKUP(C39,Hoja1!$H$2:$I$45,2,0),"")</f>
        <v>En proceso</v>
      </c>
      <c r="G39" s="116" t="str">
        <f t="shared" si="0"/>
        <v>Se encuentra en proceso, pero requiere continuar con acciones dirigidas a contar con dicho aspecto de control.</v>
      </c>
      <c r="I39" s="130">
        <f t="shared" si="1"/>
        <v>0.5</v>
      </c>
      <c r="J39" s="261"/>
    </row>
    <row r="40" spans="1:10" ht="45.75" thickBot="1" x14ac:dyDescent="0.3">
      <c r="A40" s="1"/>
      <c r="B40" s="1"/>
      <c r="C40" s="128">
        <v>22</v>
      </c>
      <c r="D40" s="277"/>
      <c r="E40" s="120" t="str">
        <f>+IFERROR(INDEX(Hoja1!$E$2:$E$45,MATCH('Análisis Resultados'!C40,Hoja1!$H$2:$H$45,0)),"")</f>
        <v>La identificación de cambios en su entorno que pueden generar consecuencias negativas en su gestión</v>
      </c>
      <c r="F40" s="121" t="str">
        <f>+IFERROR(VLOOKUP(C40,Hoja1!$H$2:$I$45,2,0),"")</f>
        <v>Si</v>
      </c>
      <c r="G40" s="122" t="str">
        <f t="shared" si="0"/>
        <v>Existe requerimiento pero se requiere actividades  dirigidas a su mantenimiento dentro del marco de las lineas de defensa.</v>
      </c>
      <c r="I40" s="132">
        <f t="shared" si="1"/>
        <v>1</v>
      </c>
      <c r="J40" s="261"/>
    </row>
    <row r="41" spans="1:10" ht="87.75" customHeight="1" x14ac:dyDescent="0.25">
      <c r="A41" s="1"/>
      <c r="B41" s="1"/>
      <c r="C41" s="128">
        <v>23</v>
      </c>
      <c r="D41" s="272" t="s">
        <v>98</v>
      </c>
      <c r="E41" s="111" t="str">
        <f>+IFERROR(INDEX(Hoja1!$E$2:$E$45,MATCH('Análisis Resultados'!C41,Hoja1!$H$2:$H$45,0)),"")</f>
        <v>La definición de acciones o actividades para para dar tratamiento a los problemas identificados (mitigación de riesgos), incluyendo aquellos asociados a posibles actos de corrupción</v>
      </c>
      <c r="F41" s="112" t="str">
        <f>+IFERROR(VLOOKUP(C41,Hoja1!$H$2:$I$45,2,0),"")</f>
        <v>En proceso</v>
      </c>
      <c r="G41" s="113" t="str">
        <f t="shared" si="0"/>
        <v>Se encuentra en proceso, pero requiere continuar con acciones dirigidas a contar con dicho aspecto de control.</v>
      </c>
      <c r="I41" s="129">
        <f t="shared" si="1"/>
        <v>0.5</v>
      </c>
      <c r="J41" s="260">
        <f>+AVERAGE(I41:I45)</f>
        <v>0.6</v>
      </c>
    </row>
    <row r="42" spans="1:10" ht="57" x14ac:dyDescent="0.25">
      <c r="A42" s="1"/>
      <c r="B42" s="1"/>
      <c r="C42" s="128">
        <v>24</v>
      </c>
      <c r="D42" s="273"/>
      <c r="E42" s="114" t="str">
        <f>+IFERROR(INDEX(Hoja1!$E$2:$E$45,MATCH('Análisis Resultados'!C42,Hoja1!$H$2:$H$45,0)),"")</f>
        <v>Mecanismos de verificación de si se están o no mitigando los riesgos, o en su defecto, elaboración de planes de contingencia para subsanar sus consecuencias</v>
      </c>
      <c r="F42" s="115" t="str">
        <f>+IFERROR(VLOOKUP(C42,Hoja1!$H$2:$I$45,2,0),"")</f>
        <v>En proceso</v>
      </c>
      <c r="G42" s="116" t="str">
        <f t="shared" si="0"/>
        <v>Se encuentra en proceso, pero requiere continuar con acciones dirigidas a contar con dicho aspecto de control.</v>
      </c>
      <c r="I42" s="130">
        <f t="shared" si="1"/>
        <v>0.5</v>
      </c>
      <c r="J42" s="261"/>
    </row>
    <row r="43" spans="1:10" ht="85.5" customHeight="1" x14ac:dyDescent="0.25">
      <c r="A43" s="1"/>
      <c r="B43" s="1"/>
      <c r="C43" s="128">
        <v>25</v>
      </c>
      <c r="D43" s="273"/>
      <c r="E43" s="114" t="str">
        <f>+IFERROR(INDEX(Hoja1!$E$2:$E$45,MATCH('Análisis Resultados'!C43,Hoja1!$H$2:$H$45,0)),"")</f>
        <v>Un documento que consolide  los riesgos  y el tratamiento que se les da, incluyendo aquellos que conllevan posibles actos de corrupción y si la capacidad e infraestructura lo permite, los asociados con las tecnologías de la información y las comunicaciones</v>
      </c>
      <c r="F43" s="115" t="str">
        <f>+IFERROR(VLOOKUP(C43,Hoja1!$H$2:$I$45,2,0),"")</f>
        <v>En proceso</v>
      </c>
      <c r="G43" s="116" t="str">
        <f t="shared" si="0"/>
        <v>Se encuentra en proceso, pero requiere continuar con acciones dirigidas a contar con dicho aspecto de control.</v>
      </c>
      <c r="I43" s="130">
        <f t="shared" si="1"/>
        <v>0.5</v>
      </c>
      <c r="J43" s="261"/>
    </row>
    <row r="44" spans="1:10" ht="57" customHeight="1" x14ac:dyDescent="0.25">
      <c r="A44" s="1"/>
      <c r="B44" s="1"/>
      <c r="C44" s="128">
        <v>26</v>
      </c>
      <c r="D44" s="273"/>
      <c r="E44" s="114" t="str">
        <f>+IFERROR(INDEX(Hoja1!$E$2:$E$45,MATCH('Análisis Resultados'!C44,Hoja1!$H$2:$H$45,0)),"")</f>
        <v>Un plan anticorrupción y de servicio al ciudadano con los temas que le aplican, publicado en algún medio para conocimiento de la ciudadanía</v>
      </c>
      <c r="F44" s="115" t="str">
        <f>+IFERROR(VLOOKUP(C44,Hoja1!$H$2:$I$45,2,0),"")</f>
        <v>En proceso</v>
      </c>
      <c r="G44" s="116" t="str">
        <f t="shared" si="0"/>
        <v>Se encuentra en proceso, pero requiere continuar con acciones dirigidas a contar con dicho aspecto de control.</v>
      </c>
      <c r="I44" s="130">
        <f t="shared" si="1"/>
        <v>0.5</v>
      </c>
      <c r="J44" s="261"/>
    </row>
    <row r="45" spans="1:10" ht="57" customHeight="1" thickBot="1" x14ac:dyDescent="0.3">
      <c r="A45" s="1"/>
      <c r="B45" s="1"/>
      <c r="C45" s="128">
        <v>27</v>
      </c>
      <c r="D45" s="274"/>
      <c r="E45" s="117" t="str">
        <f>+IFERROR(INDEX(Hoja1!$E$2:$E$45,MATCH('Análisis Resultados'!C45,Hoja1!$H$2:$H$45,0)),"")</f>
        <v>Planes, acciones o estrategias que permitan subsanar las consecuencias de la materialización de los riesgos, cuando se presentan</v>
      </c>
      <c r="F45" s="118" t="str">
        <f>+IFERROR(VLOOKUP(C45,Hoja1!$H$2:$I$45,2,0),"")</f>
        <v>Si</v>
      </c>
      <c r="G45" s="119" t="str">
        <f t="shared" si="0"/>
        <v>Existe requerimiento pero se requiere actividades  dirigidas a su mantenimiento dentro del marco de las lineas de defensa.</v>
      </c>
      <c r="I45" s="131">
        <f t="shared" si="1"/>
        <v>1</v>
      </c>
      <c r="J45" s="275"/>
    </row>
    <row r="46" spans="1:10" ht="63.75" customHeight="1" x14ac:dyDescent="0.25">
      <c r="A46" s="1"/>
      <c r="B46" s="1"/>
      <c r="C46" s="128">
        <v>28</v>
      </c>
      <c r="D46" s="271" t="s">
        <v>111</v>
      </c>
      <c r="E46" s="123" t="str">
        <f>+IFERROR(INDEX(Hoja1!$E$2:$E$45,MATCH('Análisis Resultados'!C46,Hoja1!$H$2:$H$45,0)),"")</f>
        <v>Responsables de la información institucional</v>
      </c>
      <c r="F46" s="124" t="str">
        <f>+IFERROR(VLOOKUP(C46,Hoja1!$H$2:$I$45,2,0),"")</f>
        <v>Si</v>
      </c>
      <c r="G46" s="125" t="str">
        <f t="shared" si="0"/>
        <v>Existe requerimiento pero se requiere actividades  dirigidas a su mantenimiento dentro del marco de las lineas de defensa.</v>
      </c>
      <c r="I46" s="133">
        <f t="shared" si="1"/>
        <v>1</v>
      </c>
      <c r="J46" s="261">
        <f>+AVERAGE(I46:I52)</f>
        <v>1</v>
      </c>
    </row>
    <row r="47" spans="1:10" ht="92.25" customHeight="1" x14ac:dyDescent="0.25">
      <c r="A47" s="1"/>
      <c r="B47" s="1"/>
      <c r="C47" s="128">
        <v>29</v>
      </c>
      <c r="D47" s="271"/>
      <c r="E47" s="114" t="str">
        <f>+IFERROR(INDEX(Hoja1!$E$2:$E$45,MATCH('Análisis Resultados'!C47,Hoja1!$H$2:$H$45,0)),"")</f>
        <v>Canales de comunicación con los ciudadanos</v>
      </c>
      <c r="F47" s="115" t="str">
        <f>+IFERROR(VLOOKUP(C47,Hoja1!$H$2:$I$45,2,0),"")</f>
        <v>Si</v>
      </c>
      <c r="G47" s="126" t="str">
        <f t="shared" si="0"/>
        <v>Existe requerimiento pero se requiere actividades  dirigidas a su mantenimiento dentro del marco de las lineas de defensa.</v>
      </c>
      <c r="I47" s="134">
        <f t="shared" si="1"/>
        <v>1</v>
      </c>
      <c r="J47" s="261"/>
    </row>
    <row r="48" spans="1:10" ht="66.75" customHeight="1" x14ac:dyDescent="0.25">
      <c r="A48" s="1"/>
      <c r="B48" s="1"/>
      <c r="C48" s="128">
        <v>30</v>
      </c>
      <c r="D48" s="271"/>
      <c r="E48" s="114" t="str">
        <f>+IFERROR(INDEX(Hoja1!$E$2:$E$45,MATCH('Análisis Resultados'!C48,Hoja1!$H$2:$H$45,0)),"")</f>
        <v>Canales de comunicación o mecanismos de reporte de información a otros organismos gubernamentales o de control</v>
      </c>
      <c r="F48" s="115" t="str">
        <f>+IFERROR(VLOOKUP(C48,Hoja1!$H$2:$I$45,2,0),"")</f>
        <v>Si</v>
      </c>
      <c r="G48" s="126" t="str">
        <f t="shared" si="0"/>
        <v>Existe requerimiento pero se requiere actividades  dirigidas a su mantenimiento dentro del marco de las lineas de defensa.</v>
      </c>
      <c r="I48" s="134">
        <f t="shared" si="1"/>
        <v>1</v>
      </c>
      <c r="J48" s="261"/>
    </row>
    <row r="49" spans="1:10" ht="60" customHeight="1" x14ac:dyDescent="0.25">
      <c r="A49" s="1"/>
      <c r="B49" s="1"/>
      <c r="C49" s="128">
        <v>31</v>
      </c>
      <c r="D49" s="271"/>
      <c r="E49" s="114" t="str">
        <f>+IFERROR(INDEX(Hoja1!$E$2:$E$45,MATCH('Análisis Resultados'!C49,Hoja1!$H$2:$H$45,0)),"")</f>
        <v xml:space="preserve">Lineamientos para dar tratamiento a la información de carácter reservado </v>
      </c>
      <c r="F49" s="115" t="str">
        <f>+IFERROR(VLOOKUP(C49,Hoja1!$H$2:$I$45,2,0),"")</f>
        <v>Si</v>
      </c>
      <c r="G49" s="126" t="str">
        <f t="shared" si="0"/>
        <v>Existe requerimiento pero se requiere actividades  dirigidas a su mantenimiento dentro del marco de las lineas de defensa.</v>
      </c>
      <c r="I49" s="134">
        <f t="shared" si="1"/>
        <v>1</v>
      </c>
      <c r="J49" s="261"/>
    </row>
    <row r="50" spans="1:10" ht="57" customHeight="1" x14ac:dyDescent="0.25">
      <c r="A50" s="1"/>
      <c r="B50" s="1"/>
      <c r="C50" s="128">
        <v>32</v>
      </c>
      <c r="D50" s="271"/>
      <c r="E50" s="114" t="str">
        <f>+IFERROR(INDEX(Hoja1!$E$2:$E$45,MATCH('Análisis Resultados'!C50,Hoja1!$H$2:$H$45,0)),"")</f>
        <v>Identificación de información que produce en el marco de su gestión (Para los ciudadanos, organismos de control, organismos gubernamentales, entre otros)</v>
      </c>
      <c r="F50" s="115" t="str">
        <f>+IFERROR(VLOOKUP(C50,Hoja1!$H$2:$I$45,2,0),"")</f>
        <v>Si</v>
      </c>
      <c r="G50" s="126" t="str">
        <f t="shared" si="0"/>
        <v>Existe requerimiento pero se requiere actividades  dirigidas a su mantenimiento dentro del marco de las lineas de defensa.</v>
      </c>
      <c r="I50" s="134">
        <f t="shared" si="1"/>
        <v>1</v>
      </c>
      <c r="J50" s="261"/>
    </row>
    <row r="51" spans="1:10" ht="57" customHeight="1" x14ac:dyDescent="0.25">
      <c r="A51" s="1"/>
      <c r="B51" s="1"/>
      <c r="C51" s="128">
        <v>33</v>
      </c>
      <c r="D51" s="271"/>
      <c r="E51" s="114" t="str">
        <f>+IFERROR(INDEX(Hoja1!$E$2:$E$45,MATCH('Análisis Resultados'!C51,Hoja1!$H$2:$H$45,0)),"")</f>
        <v>Identificación de información necesaria para la operación de la entidad (normograma, presupuesto, talento humano, infraestructura física y tecnológica)</v>
      </c>
      <c r="F51" s="115" t="str">
        <f>+IFERROR(VLOOKUP(C51,Hoja1!$H$2:$I$45,2,0),"")</f>
        <v>Si</v>
      </c>
      <c r="G51" s="126" t="str">
        <f t="shared" si="0"/>
        <v>Existe requerimiento pero se requiere actividades  dirigidas a su mantenimiento dentro del marco de las lineas de defensa.</v>
      </c>
      <c r="I51" s="134">
        <f t="shared" si="1"/>
        <v>1</v>
      </c>
      <c r="J51" s="261"/>
    </row>
    <row r="52" spans="1:10" ht="45.75" thickBot="1" x14ac:dyDescent="0.3">
      <c r="A52" s="1"/>
      <c r="B52" s="1"/>
      <c r="C52" s="128">
        <v>34</v>
      </c>
      <c r="D52" s="271"/>
      <c r="E52" s="120" t="str">
        <f>+IFERROR(INDEX(Hoja1!$E$2:$E$45,MATCH('Análisis Resultados'!C52,Hoja1!$H$2:$H$45,0)),"")</f>
        <v>Si su capacidad e infraestructura lo permite, tecnologías de la información y las comunicaciones que soporten estos procesos</v>
      </c>
      <c r="F52" s="121" t="str">
        <f>+IFERROR(VLOOKUP(C52,Hoja1!$H$2:$I$45,2,0),"")</f>
        <v>Si</v>
      </c>
      <c r="G52" s="127" t="str">
        <f t="shared" si="0"/>
        <v>Existe requerimiento pero se requiere actividades  dirigidas a su mantenimiento dentro del marco de las lineas de defensa.</v>
      </c>
      <c r="I52" s="135">
        <f t="shared" si="1"/>
        <v>1</v>
      </c>
      <c r="J52" s="261"/>
    </row>
    <row r="53" spans="1:10" ht="41.25" customHeight="1" x14ac:dyDescent="0.25">
      <c r="A53" s="1"/>
      <c r="B53" s="1"/>
      <c r="C53" s="128">
        <v>35</v>
      </c>
      <c r="D53" s="265" t="s">
        <v>128</v>
      </c>
      <c r="E53" s="111" t="str">
        <f>+IFERROR(INDEX(Hoja1!$E$2:$E$45,MATCH('Análisis Resultados'!C53,Hoja1!$H$2:$H$45,0)),"")</f>
        <v>La entidad participa en el  Comité Municipal de Auditoría?</v>
      </c>
      <c r="F53" s="112" t="str">
        <f>+IFERROR(VLOOKUP(C53,Hoja1!$H$2:$I$45,2,0),"")</f>
        <v>No</v>
      </c>
      <c r="G53" s="113" t="str">
        <f t="shared" si="0"/>
        <v>No se encuentra el aspecto  por lo tanto la entidad debera generar acciones dirigidas a que se cumpla con el requerimiento.</v>
      </c>
      <c r="I53" s="129">
        <f t="shared" si="1"/>
        <v>0</v>
      </c>
      <c r="J53" s="268">
        <f>+AVERAGE(I53:I62)</f>
        <v>0.4</v>
      </c>
    </row>
    <row r="54" spans="1:10" ht="58.5" customHeight="1" x14ac:dyDescent="0.25">
      <c r="A54" s="1"/>
      <c r="B54" s="1"/>
      <c r="C54" s="128">
        <v>36</v>
      </c>
      <c r="D54" s="266"/>
      <c r="E54" s="114" t="str">
        <f>+IFERROR(INDEX(Hoja1!$E$2:$E$45,MATCH('Análisis Resultados'!C54,Hoja1!$H$2:$H$45,0)),"")</f>
        <v>Evitar que los problemas (riesgos) obstaculicen el cumplimiento de los objetivos.</v>
      </c>
      <c r="F54" s="115" t="str">
        <f>+IFERROR(VLOOKUP(C54,Hoja1!$H$2:$I$45,2,0),"")</f>
        <v>No</v>
      </c>
      <c r="G54" s="116" t="str">
        <f t="shared" si="0"/>
        <v>No se encuentra el aspecto  por lo tanto la entidad debera generar acciones dirigidas a que se cumpla con el requerimiento.</v>
      </c>
      <c r="I54" s="130">
        <f t="shared" si="1"/>
        <v>0</v>
      </c>
      <c r="J54" s="269"/>
    </row>
    <row r="55" spans="1:10" s="1" customFormat="1" ht="84.75" customHeight="1" x14ac:dyDescent="0.25">
      <c r="C55" s="128">
        <v>37</v>
      </c>
      <c r="D55" s="266"/>
      <c r="E55" s="114" t="str">
        <f>+IFERROR(INDEX(Hoja1!$E$2:$E$45,MATCH('Análisis Resultados'!C55,Hoja1!$H$2:$H$45,0)),"")</f>
        <v>Diseñar acciones adecuadas para controlar los problemas que afectan el cumplimiento de las metas y objetivos institucionales (riesgos).</v>
      </c>
      <c r="F55" s="115" t="str">
        <f>+IFERROR(VLOOKUP(C55,Hoja1!$H$2:$I$45,2,0),"")</f>
        <v>No</v>
      </c>
      <c r="G55" s="116" t="str">
        <f t="shared" si="0"/>
        <v>No se encuentra el aspecto  por lo tanto la entidad debera generar acciones dirigidas a que se cumpla con el requerimiento.</v>
      </c>
      <c r="I55" s="130">
        <f t="shared" si="1"/>
        <v>0</v>
      </c>
      <c r="J55" s="269"/>
    </row>
    <row r="56" spans="1:10" s="1" customFormat="1" ht="78.75" customHeight="1" x14ac:dyDescent="0.25">
      <c r="C56" s="128">
        <v>38</v>
      </c>
      <c r="D56" s="266"/>
      <c r="E56" s="114" t="str">
        <f>+IFERROR(INDEX(Hoja1!$E$2:$E$45,MATCH('Análisis Resultados'!C56,Hoja1!$H$2:$H$45,0)),"")</f>
        <v>Ejecutar las acciones de acuerdo a como se diseñaron previamente.</v>
      </c>
      <c r="F56" s="115" t="str">
        <f>+IFERROR(VLOOKUP(C56,Hoja1!$H$2:$I$45,2,0),"")</f>
        <v>No</v>
      </c>
      <c r="G56" s="116" t="str">
        <f t="shared" si="0"/>
        <v>No se encuentra el aspecto  por lo tanto la entidad debera generar acciones dirigidas a que se cumpla con el requerimiento.</v>
      </c>
      <c r="I56" s="130">
        <f t="shared" si="1"/>
        <v>0</v>
      </c>
      <c r="J56" s="269"/>
    </row>
    <row r="57" spans="1:10" s="1" customFormat="1" ht="54.75" customHeight="1" x14ac:dyDescent="0.25">
      <c r="C57" s="128">
        <v>39</v>
      </c>
      <c r="D57" s="266"/>
      <c r="E57" s="114" t="str">
        <f>+IFERROR(INDEX(Hoja1!$E$2:$E$45,MATCH('Análisis Resultados'!C57,Hoja1!$H$2:$H$45,0)),"")</f>
        <v>Medidas correctivas en caso de detectarse deficiencias en los ejercicios de evaluación, seguimiento o auditoría</v>
      </c>
      <c r="F57" s="115" t="str">
        <f>+IFERROR(VLOOKUP(C57,Hoja1!$H$2:$I$45,2,0),"")</f>
        <v>En proceso</v>
      </c>
      <c r="G57" s="116" t="str">
        <f t="shared" si="0"/>
        <v>Se encuentra en proceso, pero requiere continuar con acciones dirigidas a contar con dicho aspecto de control.</v>
      </c>
      <c r="I57" s="130">
        <f t="shared" si="1"/>
        <v>0.5</v>
      </c>
      <c r="J57" s="269"/>
    </row>
    <row r="58" spans="1:10" s="1" customFormat="1" ht="68.25" customHeight="1" x14ac:dyDescent="0.25">
      <c r="C58" s="128">
        <v>40</v>
      </c>
      <c r="D58" s="266"/>
      <c r="E58" s="114" t="str">
        <f>+IFERROR(INDEX(Hoja1!$E$2:$E$45,MATCH('Análisis Resultados'!C58,Hoja1!$H$2:$H$45,0)),"")</f>
        <v>Seguimiento a los planes de mejoramiento suscritos con instancias de control internas o externas</v>
      </c>
      <c r="F58" s="115" t="str">
        <f>+IFERROR(VLOOKUP(C58,Hoja1!$H$2:$I$45,2,0),"")</f>
        <v>En proceso</v>
      </c>
      <c r="G58" s="116" t="str">
        <f t="shared" si="0"/>
        <v>Se encuentra en proceso, pero requiere continuar con acciones dirigidas a contar con dicho aspecto de control.</v>
      </c>
      <c r="I58" s="130">
        <f t="shared" si="1"/>
        <v>0.5</v>
      </c>
      <c r="J58" s="269"/>
    </row>
    <row r="59" spans="1:10" s="1" customFormat="1" ht="45" customHeight="1" x14ac:dyDescent="0.25">
      <c r="C59" s="128">
        <v>41</v>
      </c>
      <c r="D59" s="266"/>
      <c r="E59" s="114" t="str">
        <f>+IFERROR(INDEX(Hoja1!$E$2:$E$45,MATCH('Análisis Resultados'!C59,Hoja1!$H$2:$H$45,0)),"")</f>
        <v>Controlar los puntos críticos en los procesos.</v>
      </c>
      <c r="F59" s="115" t="str">
        <f>+IFERROR(VLOOKUP(C59,Hoja1!$H$2:$I$45,2,0),"")</f>
        <v>En proceso</v>
      </c>
      <c r="G59" s="116" t="str">
        <f t="shared" si="0"/>
        <v>Se encuentra en proceso, pero requiere continuar con acciones dirigidas a contar con dicho aspecto de control.</v>
      </c>
      <c r="I59" s="130">
        <f t="shared" si="1"/>
        <v>0.5</v>
      </c>
      <c r="J59" s="269"/>
    </row>
    <row r="60" spans="1:10" s="1" customFormat="1" ht="51.75" customHeight="1" x14ac:dyDescent="0.25">
      <c r="C60" s="128">
        <v>42</v>
      </c>
      <c r="D60" s="266"/>
      <c r="E60" s="114" t="str">
        <f>+IFERROR(INDEX(Hoja1!$E$2:$E$45,MATCH('Análisis Resultados'!C60,Hoja1!$H$2:$H$45,0)),"")</f>
        <v>No se gestionan los problemas que afectan el cumplimiento de las funciones y objetivos institucionales(riesgos).</v>
      </c>
      <c r="F60" s="115" t="str">
        <f>+IFERROR(VLOOKUP(C60,Hoja1!$H$2:$I$45,2,0),"")</f>
        <v>En proceso</v>
      </c>
      <c r="G60" s="116" t="str">
        <f t="shared" si="0"/>
        <v>Se encuentra en proceso, pero requiere continuar con acciones dirigidas a contar con dicho aspecto de control.</v>
      </c>
      <c r="I60" s="130">
        <f t="shared" si="1"/>
        <v>0.5</v>
      </c>
      <c r="J60" s="269"/>
    </row>
    <row r="61" spans="1:10" s="1" customFormat="1" ht="84" customHeight="1" x14ac:dyDescent="0.25">
      <c r="C61" s="128">
        <v>43</v>
      </c>
      <c r="D61" s="266"/>
      <c r="E61" s="114" t="str">
        <f>+IFERROR(INDEX(Hoja1!$E$2:$E$45,MATCH('Análisis Resultados'!C61,Hoja1!$H$2:$H$45,0)),"")</f>
        <v>Mecanismos de evaluación de la gestión (cronogramas, indicadores, listas de chequeo u otros)</v>
      </c>
      <c r="F61" s="115" t="str">
        <f>+IFERROR(VLOOKUP(C61,Hoja1!$H$2:$I$45,2,0),"")</f>
        <v>Si</v>
      </c>
      <c r="G61" s="116" t="str">
        <f t="shared" si="0"/>
        <v>Existe requerimiento pero se requiere actividades  dirigidas a su mantenimiento dentro del marco de las lineas de defensa.</v>
      </c>
      <c r="I61" s="130">
        <f t="shared" si="1"/>
        <v>1</v>
      </c>
      <c r="J61" s="269"/>
    </row>
    <row r="62" spans="1:10" s="1" customFormat="1" ht="60" customHeight="1" thickBot="1" x14ac:dyDescent="0.3">
      <c r="C62" s="128">
        <v>44</v>
      </c>
      <c r="D62" s="267"/>
      <c r="E62" s="117" t="str">
        <f>+IFERROR(INDEX(Hoja1!$E$2:$E$45,MATCH('Análisis Resultados'!C62,Hoja1!$H$2:$H$45,0)),"")</f>
        <v>Algún mecanismo para monitorear o supervisar el sistema de control interno institucional, ya sea por parte del representante legal, o del área de control interno (si la entidad cuenta con ella), o bien a través del Comité departamental o municipal de Auditoría.</v>
      </c>
      <c r="F62" s="118" t="str">
        <f>+IFERROR(VLOOKUP(C62,Hoja1!$H$2:$I$45,2,0),"")</f>
        <v>Si</v>
      </c>
      <c r="G62" s="119" t="str">
        <f t="shared" si="0"/>
        <v>Existe requerimiento pero se requiere actividades  dirigidas a su mantenimiento dentro del marco de las lineas de defensa.</v>
      </c>
      <c r="I62" s="131">
        <f t="shared" si="1"/>
        <v>1</v>
      </c>
      <c r="J62" s="270"/>
    </row>
    <row r="63" spans="1:10" s="1" customFormat="1" x14ac:dyDescent="0.25"/>
    <row r="64" spans="1:10" s="1" customFormat="1" x14ac:dyDescent="0.25"/>
    <row r="65" spans="1:2" s="1" customFormat="1" x14ac:dyDescent="0.25"/>
    <row r="66" spans="1:2" s="1" customFormat="1" x14ac:dyDescent="0.25"/>
    <row r="67" spans="1:2" s="1" customFormat="1" x14ac:dyDescent="0.25"/>
    <row r="68" spans="1:2" s="1" customFormat="1" x14ac:dyDescent="0.25"/>
    <row r="69" spans="1:2" s="1" customFormat="1" x14ac:dyDescent="0.25"/>
    <row r="70" spans="1:2" s="1" customFormat="1" x14ac:dyDescent="0.25"/>
    <row r="71" spans="1:2" x14ac:dyDescent="0.25">
      <c r="A71" s="1"/>
      <c r="B71" s="1"/>
    </row>
    <row r="72" spans="1:2" x14ac:dyDescent="0.25">
      <c r="A72" s="1"/>
      <c r="B72" s="1"/>
    </row>
    <row r="73" spans="1:2" x14ac:dyDescent="0.25">
      <c r="A73" s="1"/>
      <c r="B73" s="1"/>
    </row>
    <row r="74" spans="1:2" x14ac:dyDescent="0.25">
      <c r="A74" s="1"/>
      <c r="B74" s="1"/>
    </row>
  </sheetData>
  <sheetProtection algorithmName="SHA-512" hashValue="2c/K7BVeA+JOjsvnu2HILGfEHHcx80UTyQTucJ5c70tus45UaD3gXdqjB7xLC6LydtmfT9VN5B07LstuhHP+UQ==" saltValue="5+Ylqwr6SZ9tvbSyY2m3gQ==" spinCount="100000" sheet="1" objects="1" scenarios="1" formatCells="0"/>
  <mergeCells count="25">
    <mergeCell ref="C7:K7"/>
    <mergeCell ref="C9:D9"/>
    <mergeCell ref="E9:F9"/>
    <mergeCell ref="C10:D10"/>
    <mergeCell ref="E10:F10"/>
    <mergeCell ref="C11:D11"/>
    <mergeCell ref="E11:F11"/>
    <mergeCell ref="J17:J18"/>
    <mergeCell ref="D19:D30"/>
    <mergeCell ref="C17:C18"/>
    <mergeCell ref="D17:E17"/>
    <mergeCell ref="F17:F18"/>
    <mergeCell ref="G17:G18"/>
    <mergeCell ref="I17:I18"/>
    <mergeCell ref="J31:J40"/>
    <mergeCell ref="C12:D12"/>
    <mergeCell ref="E12:F12"/>
    <mergeCell ref="J19:J30"/>
    <mergeCell ref="D53:D62"/>
    <mergeCell ref="J53:J62"/>
    <mergeCell ref="D46:D52"/>
    <mergeCell ref="J46:J52"/>
    <mergeCell ref="D41:D45"/>
    <mergeCell ref="J41:J45"/>
    <mergeCell ref="D31:D40"/>
  </mergeCells>
  <conditionalFormatting sqref="I19:I62">
    <cfRule type="cellIs" dxfId="19" priority="4" operator="between">
      <formula>0.75</formula>
      <formula>1</formula>
    </cfRule>
    <cfRule type="cellIs" dxfId="18" priority="5" operator="between">
      <formula>0.5</formula>
      <formula>0.74</formula>
    </cfRule>
    <cfRule type="cellIs" dxfId="17" priority="6" operator="between">
      <formula>0</formula>
      <formula>0.49</formula>
    </cfRule>
  </conditionalFormatting>
  <conditionalFormatting sqref="J19:J31 J41 J46 J53">
    <cfRule type="cellIs" priority="1" operator="between">
      <formula>0.75</formula>
      <formula>1</formula>
    </cfRule>
    <cfRule type="cellIs" dxfId="16" priority="2" operator="between">
      <formula>0.5</formula>
      <formula>0.75</formula>
    </cfRule>
    <cfRule type="cellIs" dxfId="15" priority="3" operator="between">
      <formula>0</formula>
      <formula>0.49</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7" operator="containsText" id="{B5EC0094-D2B5-49BB-B6F9-E988382E1263}">
            <xm:f>NOT(ISERROR(SEARCH($E$12,G19)))</xm:f>
            <xm:f>$E$12</xm:f>
            <x14:dxf>
              <fill>
                <patternFill>
                  <bgColor rgb="FFFF0000"/>
                </patternFill>
              </fill>
            </x14:dxf>
          </x14:cfRule>
          <x14:cfRule type="containsText" priority="8" operator="containsText" id="{D802A135-824D-43A0-835B-FE63514274DE}">
            <xm:f>NOT(ISERROR(SEARCH($E$11,G19)))</xm:f>
            <xm:f>$E$11</xm:f>
            <x14:dxf>
              <fill>
                <patternFill>
                  <bgColor rgb="FFFFFF00"/>
                </patternFill>
              </fill>
            </x14:dxf>
          </x14:cfRule>
          <x14:cfRule type="containsText" priority="9" operator="containsText" id="{D7844022-1CB2-4683-9B09-8D3EA8F0FDED}">
            <xm:f>NOT(ISERROR(SEARCH($E$10,G19)))</xm:f>
            <xm:f>$E$10</xm:f>
            <x14:dxf>
              <fill>
                <patternFill>
                  <bgColor rgb="FF00B050"/>
                </patternFill>
              </fill>
            </x14:dxf>
          </x14:cfRule>
          <xm:sqref>G19:G62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1"/>
  <sheetViews>
    <sheetView topLeftCell="A30" zoomScale="70" zoomScaleNormal="70" workbookViewId="0">
      <selection activeCell="S21" sqref="S21"/>
    </sheetView>
  </sheetViews>
  <sheetFormatPr baseColWidth="10" defaultColWidth="11.42578125" defaultRowHeight="15" x14ac:dyDescent="0.25"/>
  <cols>
    <col min="1" max="1" width="4.42578125" customWidth="1"/>
    <col min="3" max="3" width="35.5703125" customWidth="1"/>
    <col min="4" max="4" width="13" customWidth="1"/>
    <col min="5" max="5" width="43.28515625" customWidth="1"/>
    <col min="7" max="7" width="33.85546875" customWidth="1"/>
    <col min="9" max="9" width="92.28515625" customWidth="1"/>
    <col min="13" max="13" width="29" customWidth="1"/>
  </cols>
  <sheetData>
    <row r="1" spans="1:17" s="1" customFormat="1" x14ac:dyDescent="0.25"/>
    <row r="2" spans="1:17" ht="15.75" thickBot="1" x14ac:dyDescent="0.3">
      <c r="A2" s="1"/>
      <c r="B2" s="1"/>
      <c r="C2" s="1"/>
      <c r="D2" s="1"/>
      <c r="E2" s="1"/>
      <c r="F2" s="1"/>
      <c r="G2" s="1"/>
      <c r="H2" s="1"/>
      <c r="I2" s="1"/>
      <c r="J2" s="1"/>
      <c r="K2" s="1"/>
      <c r="L2" s="1"/>
      <c r="M2" s="1"/>
      <c r="N2" s="1"/>
      <c r="O2" s="1"/>
      <c r="P2" s="1"/>
      <c r="Q2" s="1"/>
    </row>
    <row r="3" spans="1:17" ht="15.75" thickTop="1" x14ac:dyDescent="0.25">
      <c r="A3" s="1"/>
      <c r="B3" s="2"/>
      <c r="C3" s="3"/>
      <c r="D3" s="3"/>
      <c r="E3" s="3"/>
      <c r="F3" s="3"/>
      <c r="G3" s="3"/>
      <c r="H3" s="3"/>
      <c r="I3" s="3"/>
      <c r="J3" s="3"/>
      <c r="K3" s="3"/>
      <c r="L3" s="3"/>
      <c r="M3" s="3"/>
      <c r="N3" s="3"/>
      <c r="O3" s="3"/>
      <c r="P3" s="4"/>
      <c r="Q3" s="1"/>
    </row>
    <row r="4" spans="1:17" ht="16.5" x14ac:dyDescent="0.3">
      <c r="A4" s="1"/>
      <c r="B4" s="5"/>
      <c r="C4" s="1"/>
      <c r="D4" s="1"/>
      <c r="E4" s="298" t="s">
        <v>165</v>
      </c>
      <c r="F4" s="300" t="s">
        <v>166</v>
      </c>
      <c r="G4" s="300"/>
      <c r="H4" s="300"/>
      <c r="I4" s="300"/>
      <c r="J4" s="300"/>
      <c r="K4" s="300"/>
      <c r="L4" s="300"/>
      <c r="M4" s="300"/>
      <c r="N4" s="6"/>
      <c r="O4" s="6"/>
      <c r="P4" s="7"/>
      <c r="Q4" s="1"/>
    </row>
    <row r="5" spans="1:17" ht="45.75" customHeight="1" x14ac:dyDescent="0.3">
      <c r="A5" s="1"/>
      <c r="B5" s="5"/>
      <c r="C5" s="1"/>
      <c r="D5" s="1"/>
      <c r="E5" s="299"/>
      <c r="F5" s="300"/>
      <c r="G5" s="300"/>
      <c r="H5" s="300"/>
      <c r="I5" s="300"/>
      <c r="J5" s="300"/>
      <c r="K5" s="300"/>
      <c r="L5" s="300"/>
      <c r="M5" s="300"/>
      <c r="N5" s="6"/>
      <c r="O5" s="6"/>
      <c r="P5" s="7"/>
      <c r="Q5" s="1"/>
    </row>
    <row r="6" spans="1:17" ht="66.75" customHeight="1" x14ac:dyDescent="0.3">
      <c r="A6" s="1"/>
      <c r="B6" s="5"/>
      <c r="C6" s="1"/>
      <c r="D6" s="1"/>
      <c r="E6" s="88" t="s">
        <v>167</v>
      </c>
      <c r="F6" s="301" t="s">
        <v>168</v>
      </c>
      <c r="G6" s="302"/>
      <c r="H6" s="302"/>
      <c r="I6" s="302"/>
      <c r="J6" s="302"/>
      <c r="K6" s="302"/>
      <c r="L6" s="302"/>
      <c r="M6" s="303"/>
      <c r="N6" s="8"/>
      <c r="O6" s="8"/>
      <c r="P6" s="7"/>
      <c r="Q6" s="1"/>
    </row>
    <row r="7" spans="1:17" ht="17.25" thickBot="1" x14ac:dyDescent="0.35">
      <c r="A7" s="1"/>
      <c r="B7" s="5"/>
      <c r="C7" s="1"/>
      <c r="D7" s="1"/>
      <c r="E7" s="9"/>
      <c r="F7" s="8"/>
      <c r="G7" s="8"/>
      <c r="H7" s="8"/>
      <c r="I7" s="8"/>
      <c r="J7" s="8"/>
      <c r="K7" s="8"/>
      <c r="L7" s="8"/>
      <c r="M7" s="1"/>
      <c r="N7" s="1"/>
      <c r="O7" s="1"/>
      <c r="P7" s="7"/>
      <c r="Q7" s="1"/>
    </row>
    <row r="8" spans="1:17" ht="97.5" customHeight="1" thickBot="1" x14ac:dyDescent="0.3">
      <c r="A8" s="1"/>
      <c r="B8" s="5"/>
      <c r="C8" s="1"/>
      <c r="D8" s="1"/>
      <c r="E8" s="1"/>
      <c r="F8" s="1"/>
      <c r="G8" s="1"/>
      <c r="H8" s="1"/>
      <c r="I8" s="304" t="s">
        <v>169</v>
      </c>
      <c r="J8" s="305"/>
      <c r="K8" s="306"/>
      <c r="L8" s="1"/>
      <c r="M8" s="136">
        <f>+AVERAGE(G26,G28,G30,G32,G34)</f>
        <v>0.64833333333333332</v>
      </c>
      <c r="N8" s="10"/>
      <c r="O8" s="10"/>
      <c r="P8" s="7"/>
      <c r="Q8" s="1"/>
    </row>
    <row r="9" spans="1:17" ht="15.75" x14ac:dyDescent="0.25">
      <c r="A9" s="1"/>
      <c r="B9" s="5"/>
      <c r="C9" s="1"/>
      <c r="D9" s="1"/>
      <c r="E9" s="1"/>
      <c r="F9" s="1"/>
      <c r="G9" s="1"/>
      <c r="H9" s="1"/>
      <c r="I9" s="1"/>
      <c r="J9" s="1"/>
      <c r="K9" s="1"/>
      <c r="L9" s="1"/>
      <c r="M9" s="11"/>
      <c r="N9" s="11"/>
      <c r="O9" s="11"/>
      <c r="P9" s="7"/>
      <c r="Q9" s="1"/>
    </row>
    <row r="10" spans="1:17" x14ac:dyDescent="0.25">
      <c r="A10" s="1"/>
      <c r="B10" s="5"/>
      <c r="C10" s="1"/>
      <c r="D10" s="1"/>
      <c r="E10" s="1"/>
      <c r="F10" s="1"/>
      <c r="G10" s="1"/>
      <c r="H10" s="1"/>
      <c r="I10" s="1"/>
      <c r="J10" s="1"/>
      <c r="K10" s="1"/>
      <c r="L10" s="1"/>
      <c r="M10" s="1"/>
      <c r="N10" s="1"/>
      <c r="O10" s="1"/>
      <c r="P10" s="7"/>
      <c r="Q10" s="1"/>
    </row>
    <row r="11" spans="1:17" x14ac:dyDescent="0.25">
      <c r="A11" s="1"/>
      <c r="B11" s="5"/>
      <c r="C11" s="1"/>
      <c r="D11" s="1"/>
      <c r="E11" s="1"/>
      <c r="F11" s="1"/>
      <c r="G11" s="1"/>
      <c r="H11" s="1"/>
      <c r="I11" s="1"/>
      <c r="J11" s="1"/>
      <c r="K11" s="1"/>
      <c r="L11" s="1"/>
      <c r="M11" s="1"/>
      <c r="N11" s="1"/>
      <c r="O11" s="1"/>
      <c r="P11" s="7"/>
      <c r="Q11" s="1"/>
    </row>
    <row r="12" spans="1:17" x14ac:dyDescent="0.25">
      <c r="A12" s="1"/>
      <c r="B12" s="5"/>
      <c r="C12" s="1"/>
      <c r="D12" s="1"/>
      <c r="E12" s="1"/>
      <c r="F12" s="1"/>
      <c r="G12" s="1"/>
      <c r="H12" s="1"/>
      <c r="I12" s="1"/>
      <c r="J12" s="1"/>
      <c r="K12" s="1"/>
      <c r="L12" s="1"/>
      <c r="M12" s="1"/>
      <c r="N12" s="1"/>
      <c r="O12" s="1"/>
      <c r="P12" s="7"/>
      <c r="Q12" s="1"/>
    </row>
    <row r="13" spans="1:17" x14ac:dyDescent="0.25">
      <c r="A13" s="1"/>
      <c r="B13" s="5"/>
      <c r="C13" s="1"/>
      <c r="D13" s="1"/>
      <c r="E13" s="1"/>
      <c r="F13" s="1"/>
      <c r="G13" s="1"/>
      <c r="H13" s="1"/>
      <c r="I13" s="1"/>
      <c r="J13" s="1"/>
      <c r="K13" s="1"/>
      <c r="L13" s="1"/>
      <c r="M13" s="1"/>
      <c r="N13" s="1"/>
      <c r="O13" s="1"/>
      <c r="P13" s="7"/>
      <c r="Q13" s="1"/>
    </row>
    <row r="14" spans="1:17" x14ac:dyDescent="0.25">
      <c r="A14" s="1"/>
      <c r="B14" s="5"/>
      <c r="C14" s="1"/>
      <c r="D14" s="1"/>
      <c r="E14" s="1"/>
      <c r="F14" s="1"/>
      <c r="G14" s="1"/>
      <c r="H14" s="1"/>
      <c r="I14" s="1"/>
      <c r="J14" s="1"/>
      <c r="K14" s="1"/>
      <c r="L14" s="1"/>
      <c r="M14" s="1"/>
      <c r="N14" s="1"/>
      <c r="O14" s="1"/>
      <c r="P14" s="7"/>
      <c r="Q14" s="1"/>
    </row>
    <row r="15" spans="1:17" x14ac:dyDescent="0.25">
      <c r="A15" s="1"/>
      <c r="B15" s="5"/>
      <c r="C15" s="1"/>
      <c r="D15" s="1"/>
      <c r="E15" s="1"/>
      <c r="F15" s="1"/>
      <c r="G15" s="1"/>
      <c r="H15" s="1"/>
      <c r="I15" s="1"/>
      <c r="J15" s="1"/>
      <c r="K15" s="1"/>
      <c r="L15" s="1"/>
      <c r="M15" s="1"/>
      <c r="N15" s="1"/>
      <c r="O15" s="1"/>
      <c r="P15" s="7"/>
      <c r="Q15" s="1"/>
    </row>
    <row r="16" spans="1:17" x14ac:dyDescent="0.25">
      <c r="A16" s="1"/>
      <c r="B16" s="5"/>
      <c r="C16" s="1"/>
      <c r="D16" s="1"/>
      <c r="E16" s="1"/>
      <c r="F16" s="1"/>
      <c r="G16" s="1"/>
      <c r="H16" s="1"/>
      <c r="I16" s="1"/>
      <c r="J16" s="1"/>
      <c r="K16" s="1"/>
      <c r="L16" s="1"/>
      <c r="M16" s="1"/>
      <c r="N16" s="1"/>
      <c r="O16" s="1"/>
      <c r="P16" s="7"/>
      <c r="Q16" s="1"/>
    </row>
    <row r="17" spans="1:17" x14ac:dyDescent="0.25">
      <c r="A17" s="1"/>
      <c r="B17" s="5"/>
      <c r="C17" s="1"/>
      <c r="D17" s="1"/>
      <c r="E17" s="1"/>
      <c r="F17" s="1"/>
      <c r="G17" s="1"/>
      <c r="H17" s="1"/>
      <c r="I17" s="1"/>
      <c r="J17" s="1"/>
      <c r="K17" s="1"/>
      <c r="L17" s="1"/>
      <c r="M17" s="1"/>
      <c r="N17" s="1"/>
      <c r="O17" s="1"/>
      <c r="P17" s="7"/>
      <c r="Q17" s="1"/>
    </row>
    <row r="18" spans="1:17" ht="23.25" x14ac:dyDescent="0.25">
      <c r="A18" s="1"/>
      <c r="B18" s="5"/>
      <c r="C18" s="307" t="s">
        <v>170</v>
      </c>
      <c r="D18" s="308"/>
      <c r="E18" s="308"/>
      <c r="F18" s="308"/>
      <c r="G18" s="308"/>
      <c r="H18" s="308"/>
      <c r="I18" s="308"/>
      <c r="J18" s="308"/>
      <c r="K18" s="308"/>
      <c r="L18" s="308"/>
      <c r="M18" s="309"/>
      <c r="N18" s="12"/>
      <c r="O18" s="12"/>
      <c r="P18" s="7"/>
      <c r="Q18" s="1"/>
    </row>
    <row r="19" spans="1:17" ht="16.5" thickBot="1" x14ac:dyDescent="0.3">
      <c r="A19" s="1"/>
      <c r="B19" s="5"/>
      <c r="C19" s="13"/>
      <c r="D19" s="13"/>
      <c r="E19" s="13"/>
      <c r="F19" s="13"/>
      <c r="G19" s="13"/>
      <c r="H19" s="13"/>
      <c r="I19" s="13"/>
      <c r="J19" s="13"/>
      <c r="K19" s="13"/>
      <c r="L19" s="13"/>
      <c r="M19" s="13"/>
      <c r="N19" s="14"/>
      <c r="O19" s="14"/>
      <c r="P19" s="7"/>
      <c r="Q19" s="1"/>
    </row>
    <row r="20" spans="1:17" ht="109.5" customHeight="1" x14ac:dyDescent="0.25">
      <c r="A20" s="1"/>
      <c r="B20" s="5"/>
      <c r="C20" s="310" t="s">
        <v>171</v>
      </c>
      <c r="D20" s="311"/>
      <c r="E20" s="139" t="s">
        <v>43</v>
      </c>
      <c r="F20" s="312" t="s">
        <v>172</v>
      </c>
      <c r="G20" s="313"/>
      <c r="H20" s="313"/>
      <c r="I20" s="313"/>
      <c r="J20" s="313"/>
      <c r="K20" s="313"/>
      <c r="L20" s="313"/>
      <c r="M20" s="314"/>
      <c r="N20" s="14"/>
      <c r="O20" s="14"/>
      <c r="P20" s="7"/>
      <c r="Q20" s="1"/>
    </row>
    <row r="21" spans="1:17" ht="174" customHeight="1" x14ac:dyDescent="0.25">
      <c r="A21" s="1"/>
      <c r="B21" s="5"/>
      <c r="C21" s="294" t="s">
        <v>173</v>
      </c>
      <c r="D21" s="295"/>
      <c r="E21" s="140" t="s">
        <v>91</v>
      </c>
      <c r="F21" s="315" t="s">
        <v>174</v>
      </c>
      <c r="G21" s="313"/>
      <c r="H21" s="313"/>
      <c r="I21" s="313"/>
      <c r="J21" s="313"/>
      <c r="K21" s="313"/>
      <c r="L21" s="313"/>
      <c r="M21" s="314"/>
      <c r="N21" s="14"/>
      <c r="O21" s="14"/>
      <c r="P21" s="7"/>
      <c r="Q21" s="1"/>
    </row>
    <row r="22" spans="1:17" ht="258" customHeight="1" x14ac:dyDescent="0.25">
      <c r="A22" s="1"/>
      <c r="B22" s="5"/>
      <c r="C22" s="296" t="s">
        <v>175</v>
      </c>
      <c r="D22" s="297"/>
      <c r="E22" s="141" t="s">
        <v>91</v>
      </c>
      <c r="F22" s="315" t="s">
        <v>176</v>
      </c>
      <c r="G22" s="313"/>
      <c r="H22" s="313"/>
      <c r="I22" s="313"/>
      <c r="J22" s="313"/>
      <c r="K22" s="313"/>
      <c r="L22" s="313"/>
      <c r="M22" s="314"/>
      <c r="N22" s="14"/>
      <c r="O22" s="14"/>
      <c r="P22" s="7"/>
      <c r="Q22" s="1"/>
    </row>
    <row r="23" spans="1:17" ht="54" customHeight="1" x14ac:dyDescent="0.25">
      <c r="A23" s="1"/>
      <c r="B23" s="5"/>
      <c r="C23" s="1"/>
      <c r="D23" s="1"/>
      <c r="E23" s="1"/>
      <c r="F23" s="1"/>
      <c r="G23" s="15"/>
      <c r="H23" s="1"/>
      <c r="I23" s="1"/>
      <c r="J23" s="1"/>
      <c r="K23" s="1"/>
      <c r="L23" s="1"/>
      <c r="M23" s="1"/>
      <c r="N23" s="1"/>
      <c r="O23" s="1"/>
      <c r="P23" s="7"/>
      <c r="Q23" s="1"/>
    </row>
    <row r="24" spans="1:17" ht="78.75" x14ac:dyDescent="0.25">
      <c r="A24" s="1"/>
      <c r="B24" s="5"/>
      <c r="C24" s="91" t="s">
        <v>177</v>
      </c>
      <c r="D24" s="92"/>
      <c r="E24" s="91" t="s">
        <v>178</v>
      </c>
      <c r="F24" s="92"/>
      <c r="G24" s="91" t="s">
        <v>179</v>
      </c>
      <c r="H24" s="92"/>
      <c r="I24" s="319" t="s">
        <v>180</v>
      </c>
      <c r="J24" s="319"/>
      <c r="K24" s="319"/>
      <c r="L24" s="319"/>
      <c r="M24" s="319"/>
      <c r="N24" s="30"/>
      <c r="O24" s="30"/>
      <c r="P24" s="7"/>
      <c r="Q24" s="16"/>
    </row>
    <row r="25" spans="1:17" ht="13.5" customHeight="1" thickBot="1" x14ac:dyDescent="0.3">
      <c r="A25" s="1"/>
      <c r="B25" s="5"/>
      <c r="C25" s="29"/>
      <c r="I25" s="326"/>
      <c r="J25" s="326"/>
      <c r="K25" s="326"/>
      <c r="L25" s="326"/>
      <c r="M25" s="326"/>
      <c r="N25" s="31"/>
      <c r="O25" s="31"/>
      <c r="P25" s="7"/>
      <c r="Q25" s="1"/>
    </row>
    <row r="26" spans="1:17" ht="155.25" customHeight="1" thickBot="1" x14ac:dyDescent="0.3">
      <c r="A26" s="1"/>
      <c r="B26" s="5"/>
      <c r="C26" s="82" t="s">
        <v>32</v>
      </c>
      <c r="D26" s="17"/>
      <c r="E26" s="137" t="str">
        <f>+IF(Hoja1!K2&gt;=0.5,"Si","No")</f>
        <v>Si</v>
      </c>
      <c r="F26" s="18"/>
      <c r="G26" s="138">
        <f>+Hoja1!K2</f>
        <v>0.79166666666666663</v>
      </c>
      <c r="H26" s="18"/>
      <c r="I26" s="320" t="s">
        <v>181</v>
      </c>
      <c r="J26" s="321"/>
      <c r="K26" s="321"/>
      <c r="L26" s="321"/>
      <c r="M26" s="322"/>
      <c r="N26" s="32"/>
      <c r="O26" s="33"/>
      <c r="P26" s="19"/>
      <c r="Q26" s="20"/>
    </row>
    <row r="27" spans="1:17" ht="27" thickBot="1" x14ac:dyDescent="0.45">
      <c r="A27" s="1"/>
      <c r="B27" s="5"/>
      <c r="C27" s="83"/>
      <c r="E27" s="90"/>
      <c r="G27" s="21"/>
      <c r="I27" s="327"/>
      <c r="J27" s="327"/>
      <c r="K27" s="327"/>
      <c r="L27" s="327"/>
      <c r="M27" s="327"/>
      <c r="N27" s="34"/>
      <c r="O27" s="34"/>
      <c r="P27" s="7"/>
      <c r="Q27" s="1"/>
    </row>
    <row r="28" spans="1:17" ht="111.75" customHeight="1" thickBot="1" x14ac:dyDescent="0.3">
      <c r="A28" s="1"/>
      <c r="B28" s="5"/>
      <c r="C28" s="84" t="s">
        <v>182</v>
      </c>
      <c r="D28" s="17"/>
      <c r="E28" s="137" t="str">
        <f>+IF(Hoja1!K14&gt;=0.5,"Si","No")</f>
        <v>No</v>
      </c>
      <c r="G28" s="138">
        <f>+Hoja1!K14</f>
        <v>0.45</v>
      </c>
      <c r="I28" s="323" t="s">
        <v>183</v>
      </c>
      <c r="J28" s="324"/>
      <c r="K28" s="324"/>
      <c r="L28" s="324"/>
      <c r="M28" s="325"/>
      <c r="N28" s="32"/>
      <c r="O28" s="32"/>
      <c r="P28" s="7"/>
      <c r="Q28" s="1"/>
    </row>
    <row r="29" spans="1:17" ht="27" thickBot="1" x14ac:dyDescent="0.45">
      <c r="A29" s="1"/>
      <c r="B29" s="5"/>
      <c r="C29" s="83"/>
      <c r="E29" s="90"/>
      <c r="G29" s="21"/>
      <c r="I29" s="327"/>
      <c r="J29" s="327"/>
      <c r="K29" s="327"/>
      <c r="L29" s="327"/>
      <c r="M29" s="327"/>
      <c r="N29" s="34"/>
      <c r="O29" s="34"/>
      <c r="P29" s="7"/>
      <c r="Q29" s="1"/>
    </row>
    <row r="30" spans="1:17" ht="123" customHeight="1" thickBot="1" x14ac:dyDescent="0.3">
      <c r="A30" s="1"/>
      <c r="B30" s="5"/>
      <c r="C30" s="85" t="s">
        <v>184</v>
      </c>
      <c r="D30" s="17"/>
      <c r="E30" s="137" t="str">
        <f>+IF(Hoja1!K24&gt;=0.5,"Si","No")</f>
        <v>Si</v>
      </c>
      <c r="G30" s="138">
        <f>+Hoja1!K24</f>
        <v>0.6</v>
      </c>
      <c r="I30" s="316" t="s">
        <v>185</v>
      </c>
      <c r="J30" s="317"/>
      <c r="K30" s="317"/>
      <c r="L30" s="317"/>
      <c r="M30" s="318"/>
      <c r="N30" s="32"/>
      <c r="O30" s="32"/>
      <c r="P30" s="7"/>
      <c r="Q30" s="1"/>
    </row>
    <row r="31" spans="1:17" ht="27" thickBot="1" x14ac:dyDescent="0.45">
      <c r="A31" s="1"/>
      <c r="B31" s="5"/>
      <c r="C31" s="83"/>
      <c r="E31" s="90"/>
      <c r="G31" s="21"/>
      <c r="I31" s="327"/>
      <c r="J31" s="327"/>
      <c r="K31" s="327"/>
      <c r="L31" s="327"/>
      <c r="M31" s="327"/>
      <c r="N31" s="34"/>
      <c r="O31" s="34"/>
      <c r="P31" s="7"/>
      <c r="Q31" s="1"/>
    </row>
    <row r="32" spans="1:17" ht="171" customHeight="1" thickBot="1" x14ac:dyDescent="0.3">
      <c r="A32" s="1"/>
      <c r="B32" s="5"/>
      <c r="C32" s="86" t="s">
        <v>111</v>
      </c>
      <c r="D32" s="17"/>
      <c r="E32" s="137" t="str">
        <f>+IF(Hoja1!K29&gt;=0.5,"Si","No")</f>
        <v>Si</v>
      </c>
      <c r="G32" s="138">
        <f>+Hoja1!K29</f>
        <v>1</v>
      </c>
      <c r="I32" s="316" t="s">
        <v>186</v>
      </c>
      <c r="J32" s="317"/>
      <c r="K32" s="317"/>
      <c r="L32" s="317"/>
      <c r="M32" s="318"/>
      <c r="N32" s="32"/>
      <c r="O32" s="32"/>
      <c r="P32" s="7"/>
      <c r="Q32" s="1"/>
    </row>
    <row r="33" spans="1:17" ht="27" thickBot="1" x14ac:dyDescent="0.45">
      <c r="A33" s="1"/>
      <c r="B33" s="5"/>
      <c r="C33" s="83"/>
      <c r="E33" s="90"/>
      <c r="G33" s="21"/>
      <c r="I33" s="327"/>
      <c r="J33" s="327"/>
      <c r="K33" s="327"/>
      <c r="L33" s="327"/>
      <c r="M33" s="327"/>
      <c r="N33" s="34"/>
      <c r="O33" s="34"/>
      <c r="P33" s="7"/>
      <c r="Q33" s="1"/>
    </row>
    <row r="34" spans="1:17" ht="164.25" customHeight="1" thickBot="1" x14ac:dyDescent="0.3">
      <c r="A34" s="1"/>
      <c r="B34" s="5"/>
      <c r="C34" s="87" t="s">
        <v>187</v>
      </c>
      <c r="D34" s="17"/>
      <c r="E34" s="89" t="str">
        <f>+IF(Hoja1!K36&gt;=0.5,"Si","No")</f>
        <v>No</v>
      </c>
      <c r="G34" s="138">
        <f>+Hoja1!K36</f>
        <v>0.4</v>
      </c>
      <c r="I34" s="316" t="s">
        <v>188</v>
      </c>
      <c r="J34" s="317"/>
      <c r="K34" s="317"/>
      <c r="L34" s="317"/>
      <c r="M34" s="318"/>
      <c r="N34" s="32"/>
      <c r="O34" s="32"/>
      <c r="P34" s="7"/>
      <c r="Q34" s="1"/>
    </row>
    <row r="35" spans="1:17" ht="15.75" x14ac:dyDescent="0.25">
      <c r="A35" s="1"/>
      <c r="B35" s="5"/>
      <c r="C35" s="22"/>
      <c r="D35" s="22"/>
      <c r="E35" s="14"/>
      <c r="F35" s="1"/>
      <c r="G35" s="1"/>
      <c r="H35" s="1"/>
      <c r="I35" s="1"/>
      <c r="J35" s="1"/>
      <c r="K35" s="1"/>
      <c r="L35" s="1"/>
      <c r="M35" s="23"/>
      <c r="N35" s="23"/>
      <c r="O35" s="23"/>
      <c r="P35" s="7"/>
      <c r="Q35" s="1"/>
    </row>
    <row r="36" spans="1:17" ht="15.75" x14ac:dyDescent="0.25">
      <c r="A36" s="1"/>
      <c r="B36" s="5"/>
      <c r="C36" s="24"/>
      <c r="D36" s="22"/>
      <c r="E36" s="14"/>
      <c r="F36" s="1"/>
      <c r="G36" s="1"/>
      <c r="H36" s="1"/>
      <c r="I36" s="1"/>
      <c r="J36" s="1"/>
      <c r="K36" s="1"/>
      <c r="L36" s="1"/>
      <c r="M36" s="23"/>
      <c r="N36" s="23"/>
      <c r="O36" s="23"/>
      <c r="P36" s="7"/>
      <c r="Q36" s="1"/>
    </row>
    <row r="37" spans="1:17" x14ac:dyDescent="0.25">
      <c r="A37" s="1"/>
      <c r="B37" s="5"/>
      <c r="C37" s="25"/>
      <c r="D37" s="1"/>
      <c r="E37" s="1"/>
      <c r="F37" s="1"/>
      <c r="G37" s="1"/>
      <c r="H37" s="1"/>
      <c r="I37" s="1"/>
      <c r="J37" s="1"/>
      <c r="K37" s="1"/>
      <c r="L37" s="1"/>
      <c r="M37" s="1"/>
      <c r="N37" s="1"/>
      <c r="O37" s="1"/>
      <c r="P37" s="7"/>
      <c r="Q37" s="1"/>
    </row>
    <row r="38" spans="1:17" ht="15.75" thickBot="1" x14ac:dyDescent="0.3">
      <c r="A38" s="1"/>
      <c r="B38" s="26"/>
      <c r="C38" s="27"/>
      <c r="D38" s="27"/>
      <c r="E38" s="27"/>
      <c r="F38" s="27"/>
      <c r="G38" s="27"/>
      <c r="H38" s="27"/>
      <c r="I38" s="27"/>
      <c r="J38" s="27"/>
      <c r="K38" s="27"/>
      <c r="L38" s="27"/>
      <c r="M38" s="27"/>
      <c r="N38" s="27"/>
      <c r="O38" s="27"/>
      <c r="P38" s="28"/>
      <c r="Q38" s="1"/>
    </row>
    <row r="39" spans="1:17" ht="15.75" thickTop="1" x14ac:dyDescent="0.25">
      <c r="A39" s="1"/>
      <c r="B39" s="1"/>
      <c r="C39" s="1"/>
      <c r="D39" s="1"/>
      <c r="E39" s="1"/>
      <c r="F39" s="1"/>
      <c r="G39" s="1"/>
      <c r="H39" s="1"/>
      <c r="I39" s="1"/>
      <c r="J39" s="1"/>
      <c r="K39" s="1"/>
      <c r="L39" s="1"/>
      <c r="M39" s="1"/>
      <c r="N39" s="1"/>
      <c r="O39" s="1"/>
      <c r="P39" s="1"/>
      <c r="Q39" s="1"/>
    </row>
    <row r="40" spans="1:17" x14ac:dyDescent="0.25">
      <c r="A40" s="1"/>
      <c r="B40" s="1"/>
      <c r="C40" s="1"/>
      <c r="D40" s="1"/>
      <c r="E40" s="1"/>
      <c r="F40" s="1"/>
      <c r="G40" s="1"/>
      <c r="H40" s="1"/>
      <c r="I40" s="1"/>
      <c r="J40" s="1"/>
      <c r="K40" s="1"/>
      <c r="L40" s="1"/>
      <c r="M40" s="1"/>
      <c r="N40" s="1"/>
      <c r="O40" s="1"/>
      <c r="P40" s="1"/>
      <c r="Q40" s="1"/>
    </row>
    <row r="41" spans="1:17" x14ac:dyDescent="0.25">
      <c r="A41" s="1"/>
      <c r="B41" s="1"/>
      <c r="C41" s="1"/>
      <c r="D41" s="1"/>
      <c r="E41" s="1"/>
      <c r="F41" s="1"/>
      <c r="G41" s="1"/>
      <c r="H41" s="1"/>
      <c r="I41" s="1"/>
      <c r="J41" s="1"/>
      <c r="K41" s="1"/>
      <c r="L41" s="1"/>
      <c r="M41" s="1"/>
      <c r="N41" s="1"/>
      <c r="O41" s="1"/>
      <c r="P41" s="1"/>
      <c r="Q41" s="1"/>
    </row>
  </sheetData>
  <sheetProtection algorithmName="SHA-512" hashValue="mur5Q3PEaZxn8LXLz/eSymodHMyMcb7gr8gXWBwpSU/m7uV0ZPVWkcKOdJlg0OS/SXBXX9P/iBb2vTO1mWy68A==" saltValue="abZlHLcGIMQMz4F8z7vkTw==" spinCount="100000" sheet="1" objects="1" scenarios="1" formatCells="0" formatRows="0"/>
  <mergeCells count="22">
    <mergeCell ref="I34:M34"/>
    <mergeCell ref="I30:M30"/>
    <mergeCell ref="I32:M32"/>
    <mergeCell ref="I24:M24"/>
    <mergeCell ref="I26:M26"/>
    <mergeCell ref="I28:M28"/>
    <mergeCell ref="I25:M25"/>
    <mergeCell ref="I27:M27"/>
    <mergeCell ref="I29:M29"/>
    <mergeCell ref="I31:M31"/>
    <mergeCell ref="I33:M33"/>
    <mergeCell ref="C21:D21"/>
    <mergeCell ref="C22:D22"/>
    <mergeCell ref="E4:E5"/>
    <mergeCell ref="F4:M5"/>
    <mergeCell ref="F6:M6"/>
    <mergeCell ref="I8:K8"/>
    <mergeCell ref="C18:M18"/>
    <mergeCell ref="C20:D20"/>
    <mergeCell ref="F20:M20"/>
    <mergeCell ref="F21:M21"/>
    <mergeCell ref="F22:M22"/>
  </mergeCells>
  <conditionalFormatting sqref="G26 G28 G30 G32 G34">
    <cfRule type="cellIs" priority="4" operator="between">
      <formula>0.75</formula>
      <formula>1</formula>
    </cfRule>
    <cfRule type="cellIs" dxfId="11" priority="5" operator="between">
      <formula>0.5</formula>
      <formula>0.75</formula>
    </cfRule>
    <cfRule type="cellIs" dxfId="10" priority="6" operator="between">
      <formula>0</formula>
      <formula>0.49</formula>
    </cfRule>
    <cfRule type="cellIs" dxfId="9" priority="31" operator="between">
      <formula>0.76</formula>
      <formula>1</formula>
    </cfRule>
    <cfRule type="cellIs" dxfId="8" priority="32" operator="between">
      <formula>0.51</formula>
      <formula>0.75</formula>
    </cfRule>
    <cfRule type="cellIs" dxfId="7" priority="33" operator="between">
      <formula>0.26</formula>
      <formula>0.5</formula>
    </cfRule>
  </conditionalFormatting>
  <conditionalFormatting sqref="M8">
    <cfRule type="cellIs" dxfId="6" priority="1" operator="between">
      <formula>0.75</formula>
      <formula>1</formula>
    </cfRule>
    <cfRule type="cellIs" dxfId="5" priority="2" operator="between">
      <formula>0.5</formula>
      <formula>0.75</formula>
    </cfRule>
    <cfRule type="cellIs" dxfId="4" priority="3" operator="between">
      <formula>0</formula>
      <formula>0.49</formula>
    </cfRule>
    <cfRule type="cellIs" priority="27" operator="between">
      <formula>0.76</formula>
      <formula>1</formula>
    </cfRule>
    <cfRule type="cellIs" dxfId="3" priority="28" operator="between">
      <formula>0.51</formula>
      <formula>0.75</formula>
    </cfRule>
    <cfRule type="cellIs" dxfId="2" priority="29" operator="between">
      <formula>0.26</formula>
      <formula>0.5</formula>
    </cfRule>
    <cfRule type="cellIs" dxfId="1" priority="30" operator="between">
      <formula>0</formula>
      <formula>0.25</formula>
    </cfRule>
  </conditionalFormatting>
  <dataValidations count="3">
    <dataValidation type="list" allowBlank="1" showInputMessage="1" showErrorMessage="1" sqref="E21:E22" xr:uid="{00000000-0002-0000-0300-000000000000}">
      <formula1>"Si, No"</formula1>
    </dataValidation>
    <dataValidation allowBlank="1" showInputMessage="1" showErrorMessage="1" prompt="Celda formulada, información proveniente de la pestaña de deficiencias." sqref="E24" xr:uid="{00000000-0002-0000-0300-000001000000}"/>
    <dataValidation type="list" allowBlank="1" showInputMessage="1" showErrorMessage="1" sqref="E20" xr:uid="{00000000-0002-0000-0300-000002000000}">
      <formula1>"Si,En proceso,No"</formula1>
    </dataValidation>
  </dataValidations>
  <pageMargins left="0.7" right="0.7" top="0.75" bottom="0.75" header="0.3" footer="0.3"/>
  <pageSetup orientation="portrait" horizontalDpi="300" verticalDpi="300" r:id="rId1"/>
  <drawing r:id="rId2"/>
  <extLst>
    <ext xmlns:x14="http://schemas.microsoft.com/office/spreadsheetml/2009/9/main" uri="{78C0D931-6437-407d-A8EE-F0AAD7539E65}">
      <x14:conditionalFormattings>
        <x14:conditionalFormatting xmlns:xm="http://schemas.microsoft.com/office/excel/2006/main">
          <x14:cfRule type="cellIs" priority="34" operator="between" id="{7ADAD4B9-72C7-4518-BD8A-A7D8DD349CD9}">
            <xm:f>0</xm:f>
            <xm:f>'https://institutonacionalparaciegos.sharepoint.com/Users/dell/Desktop/cesar/HISTORICOS/[2020-04-22_Formato_informe_sci_parametrizado_final.xlsx]Analisis de Resultados'!#REF!</xm:f>
            <x14:dxf>
              <fill>
                <patternFill>
                  <bgColor rgb="FFFF0000"/>
                </patternFill>
              </fill>
            </x14:dxf>
          </x14:cfRule>
          <xm:sqref>G26 G28 G30 G32 G34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5"/>
  <sheetViews>
    <sheetView workbookViewId="0">
      <selection activeCell="F2" sqref="F2"/>
    </sheetView>
  </sheetViews>
  <sheetFormatPr baseColWidth="10" defaultColWidth="11.42578125" defaultRowHeight="15" x14ac:dyDescent="0.25"/>
  <cols>
    <col min="2" max="2" width="31" bestFit="1" customWidth="1"/>
    <col min="3" max="3" width="17.140625" customWidth="1"/>
    <col min="5" max="5" width="15.140625" customWidth="1"/>
    <col min="10" max="10" width="15.7109375" customWidth="1"/>
    <col min="11" max="11" width="12" bestFit="1" customWidth="1"/>
  </cols>
  <sheetData>
    <row r="1" spans="1:11" ht="84.75" customHeight="1" x14ac:dyDescent="0.25">
      <c r="A1" s="142" t="s">
        <v>25</v>
      </c>
      <c r="B1" s="142" t="s">
        <v>6</v>
      </c>
      <c r="C1" s="143" t="s">
        <v>8</v>
      </c>
      <c r="D1" s="144" t="s">
        <v>26</v>
      </c>
      <c r="E1" s="144" t="s">
        <v>27</v>
      </c>
      <c r="F1" s="144" t="s">
        <v>189</v>
      </c>
      <c r="G1" s="145" t="s">
        <v>190</v>
      </c>
      <c r="H1" s="145" t="s">
        <v>191</v>
      </c>
      <c r="I1" s="145" t="s">
        <v>160</v>
      </c>
      <c r="J1" s="145" t="s">
        <v>192</v>
      </c>
      <c r="K1" s="145" t="s">
        <v>193</v>
      </c>
    </row>
    <row r="2" spans="1:11" x14ac:dyDescent="0.25">
      <c r="A2" s="146" t="s">
        <v>194</v>
      </c>
      <c r="B2" s="146" t="str">
        <f>+VLOOKUP(A2,'Estado SCI'!$A$16:$C$59,3,0)</f>
        <v>AMBIENTE DE CONTROL</v>
      </c>
      <c r="C2" s="146" t="s">
        <v>33</v>
      </c>
      <c r="D2" s="146" t="s">
        <v>34</v>
      </c>
      <c r="E2" s="146" t="s">
        <v>35</v>
      </c>
      <c r="F2" s="146" t="str">
        <f>+VLOOKUP(A2,'Estado SCI'!$A$16:$I$59,9,0)</f>
        <v>Mantenimiento del control</v>
      </c>
      <c r="G2" s="146">
        <f>+VLOOKUP(A2,'Estado SCI'!$A$16:$L$59,12,0)</f>
        <v>20.123000000000001</v>
      </c>
      <c r="H2" s="146">
        <f t="shared" ref="H2:H45" si="0">+_xlfn.RANK.EQ(G2,$G$2:$G$45,1)</f>
        <v>6</v>
      </c>
      <c r="I2" s="146" t="str">
        <f>+IF(VLOOKUP(A2,'Estado SCI'!$A$16:$G$59,7,0)="","",VLOOKUP(A2,'Estado SCI'!$A$16:$G$59,7,0))</f>
        <v>Si</v>
      </c>
      <c r="J2" s="147">
        <f>+IF(I2="Si",1,IF(I2="En proceso",0.5,0))</f>
        <v>1</v>
      </c>
      <c r="K2" s="148">
        <f t="shared" ref="K2:K45" si="1">+AVERAGEIF($B$2:$B$45,B2,$J$2:$J$45)</f>
        <v>0.79166666666666663</v>
      </c>
    </row>
    <row r="3" spans="1:11" x14ac:dyDescent="0.25">
      <c r="A3" s="146" t="s">
        <v>195</v>
      </c>
      <c r="B3" s="146" t="s">
        <v>32</v>
      </c>
      <c r="C3" s="146" t="s">
        <v>33</v>
      </c>
      <c r="D3" s="146" t="s">
        <v>38</v>
      </c>
      <c r="E3" s="146" t="s">
        <v>39</v>
      </c>
      <c r="F3" s="146" t="str">
        <f>+VLOOKUP(A3,'Estado SCI'!$A$16:$I$59,9,0)</f>
        <v>Mantenimiento del control</v>
      </c>
      <c r="G3" s="146">
        <f>+VLOOKUP(A3,'Estado SCI'!$A$16:$L$59,12,0)</f>
        <v>20.1234</v>
      </c>
      <c r="H3" s="146">
        <f t="shared" si="0"/>
        <v>7</v>
      </c>
      <c r="I3" s="146" t="str">
        <f>+IF(VLOOKUP(A3,'Estado SCI'!$A$16:$G$59,7,0)="","",VLOOKUP(A3,'Estado SCI'!$A$16:$G$59,7,0))</f>
        <v>Si</v>
      </c>
      <c r="J3" s="147">
        <f t="shared" ref="J3:J45" si="2">+IF(I3="Si",1,IF(I3="En proceso",0.5,0))</f>
        <v>1</v>
      </c>
      <c r="K3" s="148">
        <f t="shared" si="1"/>
        <v>0.79166666666666663</v>
      </c>
    </row>
    <row r="4" spans="1:11" x14ac:dyDescent="0.25">
      <c r="A4" s="146" t="s">
        <v>196</v>
      </c>
      <c r="B4" s="146" t="s">
        <v>32</v>
      </c>
      <c r="C4" s="146" t="s">
        <v>33</v>
      </c>
      <c r="D4" s="146" t="s">
        <v>41</v>
      </c>
      <c r="E4" s="146" t="s">
        <v>42</v>
      </c>
      <c r="F4" s="146" t="str">
        <f>+VLOOKUP(A4,'Estado SCI'!$A$16:$I$59,9,0)</f>
        <v>Oportunidad de mejora</v>
      </c>
      <c r="G4" s="146">
        <f>+VLOOKUP(A4,'Estado SCI'!$A$16:$L$59,12,0)</f>
        <v>10.12345</v>
      </c>
      <c r="H4" s="146">
        <f t="shared" si="0"/>
        <v>1</v>
      </c>
      <c r="I4" s="146" t="str">
        <f>+IF(VLOOKUP(A4,'Estado SCI'!$A$16:$G$59,7,0)="","",VLOOKUP(A4,'Estado SCI'!$A$16:$G$59,7,0))</f>
        <v>En proceso</v>
      </c>
      <c r="J4" s="147">
        <f t="shared" si="2"/>
        <v>0.5</v>
      </c>
      <c r="K4" s="148">
        <f t="shared" si="1"/>
        <v>0.79166666666666663</v>
      </c>
    </row>
    <row r="5" spans="1:11" x14ac:dyDescent="0.25">
      <c r="A5" s="146" t="s">
        <v>197</v>
      </c>
      <c r="B5" s="146" t="s">
        <v>32</v>
      </c>
      <c r="C5" s="146" t="s">
        <v>33</v>
      </c>
      <c r="D5" s="146" t="s">
        <v>44</v>
      </c>
      <c r="E5" s="146" t="s">
        <v>45</v>
      </c>
      <c r="F5" s="146" t="str">
        <f>+VLOOKUP(A5,'Estado SCI'!$A$16:$I$59,9,0)</f>
        <v>Mantenimiento del control</v>
      </c>
      <c r="G5" s="146">
        <f>+VLOOKUP(A5,'Estado SCI'!$A$16:$L$59,12,0)</f>
        <v>20.123456000000001</v>
      </c>
      <c r="H5" s="146">
        <f t="shared" si="0"/>
        <v>8</v>
      </c>
      <c r="I5" s="146" t="str">
        <f>+IF(VLOOKUP(A5,'Estado SCI'!$A$16:$G$59,7,0)="","",VLOOKUP(A5,'Estado SCI'!$A$16:$G$59,7,0))</f>
        <v>Si</v>
      </c>
      <c r="J5" s="147">
        <f t="shared" si="2"/>
        <v>1</v>
      </c>
      <c r="K5" s="148">
        <f t="shared" si="1"/>
        <v>0.79166666666666663</v>
      </c>
    </row>
    <row r="6" spans="1:11" x14ac:dyDescent="0.25">
      <c r="A6" s="146" t="s">
        <v>198</v>
      </c>
      <c r="B6" s="146" t="s">
        <v>32</v>
      </c>
      <c r="C6" s="146" t="s">
        <v>33</v>
      </c>
      <c r="D6" s="146" t="s">
        <v>47</v>
      </c>
      <c r="E6" s="146" t="s">
        <v>48</v>
      </c>
      <c r="F6" s="146" t="str">
        <f>+VLOOKUP(A6,'Estado SCI'!$A$16:$I$59,9,0)</f>
        <v>Mantenimiento del control</v>
      </c>
      <c r="G6" s="146">
        <f>+VLOOKUP(A6,'Estado SCI'!$A$16:$L$59,12,0)</f>
        <v>20.123456780000001</v>
      </c>
      <c r="H6" s="146">
        <f t="shared" si="0"/>
        <v>9</v>
      </c>
      <c r="I6" s="146" t="str">
        <f>+IF(VLOOKUP(A6,'Estado SCI'!$A$16:$G$59,7,0)="","",VLOOKUP(A6,'Estado SCI'!$A$16:$G$59,7,0))</f>
        <v>Si</v>
      </c>
      <c r="J6" s="147">
        <f t="shared" si="2"/>
        <v>1</v>
      </c>
      <c r="K6" s="148">
        <f t="shared" si="1"/>
        <v>0.79166666666666663</v>
      </c>
    </row>
    <row r="7" spans="1:11" x14ac:dyDescent="0.25">
      <c r="A7" s="146" t="s">
        <v>199</v>
      </c>
      <c r="B7" s="146" t="s">
        <v>32</v>
      </c>
      <c r="C7" s="146" t="s">
        <v>33</v>
      </c>
      <c r="D7" s="146" t="s">
        <v>50</v>
      </c>
      <c r="E7" s="146" t="s">
        <v>51</v>
      </c>
      <c r="F7" s="146" t="str">
        <f>+VLOOKUP(A7,'Estado SCI'!$A$16:$I$59,9,0)</f>
        <v>Oportunidad de mejora</v>
      </c>
      <c r="G7" s="146">
        <f>+VLOOKUP(A7,'Estado SCI'!$A$16:$L$59,12,0)</f>
        <v>10.123456789</v>
      </c>
      <c r="H7" s="146">
        <f t="shared" si="0"/>
        <v>2</v>
      </c>
      <c r="I7" s="146" t="str">
        <f>+IF(VLOOKUP(A7,'Estado SCI'!$A$16:$G$59,7,0)="","",VLOOKUP(A7,'Estado SCI'!$A$16:$G$59,7,0))</f>
        <v>En proceso</v>
      </c>
      <c r="J7" s="147">
        <f t="shared" si="2"/>
        <v>0.5</v>
      </c>
      <c r="K7" s="148">
        <f t="shared" si="1"/>
        <v>0.79166666666666663</v>
      </c>
    </row>
    <row r="8" spans="1:11" x14ac:dyDescent="0.25">
      <c r="A8" s="146" t="s">
        <v>200</v>
      </c>
      <c r="B8" s="146" t="s">
        <v>32</v>
      </c>
      <c r="C8" s="146" t="s">
        <v>33</v>
      </c>
      <c r="D8" s="146" t="s">
        <v>53</v>
      </c>
      <c r="E8" s="146" t="s">
        <v>54</v>
      </c>
      <c r="F8" s="146" t="str">
        <f>+VLOOKUP(A8,'Estado SCI'!$A$16:$I$59,9,0)</f>
        <v>Mantenimiento del control</v>
      </c>
      <c r="G8" s="146">
        <f>+VLOOKUP(A8,'Estado SCI'!$A$16:$L$59,12,0)</f>
        <v>20.1234567891</v>
      </c>
      <c r="H8" s="146">
        <f t="shared" si="0"/>
        <v>10</v>
      </c>
      <c r="I8" s="146" t="str">
        <f>+IF(VLOOKUP(A8,'Estado SCI'!$A$16:$G$59,7,0)="","",VLOOKUP(A8,'Estado SCI'!$A$16:$G$59,7,0))</f>
        <v>Si</v>
      </c>
      <c r="J8" s="147">
        <f t="shared" si="2"/>
        <v>1</v>
      </c>
      <c r="K8" s="148">
        <f t="shared" si="1"/>
        <v>0.79166666666666663</v>
      </c>
    </row>
    <row r="9" spans="1:11" x14ac:dyDescent="0.25">
      <c r="A9" s="146" t="s">
        <v>201</v>
      </c>
      <c r="B9" s="146" t="s">
        <v>32</v>
      </c>
      <c r="C9" s="146" t="s">
        <v>33</v>
      </c>
      <c r="D9" s="146" t="s">
        <v>56</v>
      </c>
      <c r="E9" s="146" t="s">
        <v>57</v>
      </c>
      <c r="F9" s="146" t="str">
        <f>+VLOOKUP(A9,'Estado SCI'!$A$16:$I$59,9,0)</f>
        <v>Oportunidad de mejora</v>
      </c>
      <c r="G9" s="146">
        <f>+VLOOKUP(A9,'Estado SCI'!$A$16:$L$59,12,0)</f>
        <v>10.12345678912</v>
      </c>
      <c r="H9" s="146">
        <f t="shared" si="0"/>
        <v>3</v>
      </c>
      <c r="I9" s="146" t="str">
        <f>+IF(VLOOKUP(A9,'Estado SCI'!$A$16:$G$59,7,0)="","",VLOOKUP(A9,'Estado SCI'!$A$16:$G$59,7,0))</f>
        <v>En proceso</v>
      </c>
      <c r="J9" s="147">
        <f t="shared" si="2"/>
        <v>0.5</v>
      </c>
      <c r="K9" s="148">
        <f t="shared" si="1"/>
        <v>0.79166666666666663</v>
      </c>
    </row>
    <row r="10" spans="1:11" x14ac:dyDescent="0.25">
      <c r="A10" s="146" t="s">
        <v>202</v>
      </c>
      <c r="B10" s="146" t="s">
        <v>32</v>
      </c>
      <c r="C10" s="146" t="s">
        <v>33</v>
      </c>
      <c r="D10" s="146" t="s">
        <v>58</v>
      </c>
      <c r="E10" s="146" t="s">
        <v>59</v>
      </c>
      <c r="F10" s="146" t="str">
        <f>+VLOOKUP(A10,'Estado SCI'!$A$16:$I$59,9,0)</f>
        <v>Oportunidad de mejora</v>
      </c>
      <c r="G10" s="146">
        <f>+VLOOKUP(A10,'Estado SCI'!$A$16:$L$59,12,0)</f>
        <v>10.123456789123001</v>
      </c>
      <c r="H10" s="146">
        <f t="shared" si="0"/>
        <v>4</v>
      </c>
      <c r="I10" s="146" t="str">
        <f>+IF(VLOOKUP(A10,'Estado SCI'!$A$16:$G$59,7,0)="","",VLOOKUP(A10,'Estado SCI'!$A$16:$G$59,7,0))</f>
        <v>En proceso</v>
      </c>
      <c r="J10" s="147">
        <f t="shared" si="2"/>
        <v>0.5</v>
      </c>
      <c r="K10" s="148">
        <f t="shared" si="1"/>
        <v>0.79166666666666663</v>
      </c>
    </row>
    <row r="11" spans="1:11" x14ac:dyDescent="0.25">
      <c r="A11" s="146" t="s">
        <v>203</v>
      </c>
      <c r="B11" s="146" t="s">
        <v>32</v>
      </c>
      <c r="C11" s="146" t="s">
        <v>33</v>
      </c>
      <c r="D11" s="146" t="s">
        <v>61</v>
      </c>
      <c r="E11" s="146" t="s">
        <v>62</v>
      </c>
      <c r="F11" s="146" t="str">
        <f>+VLOOKUP(A11,'Estado SCI'!$A$16:$I$59,9,0)</f>
        <v>Mantenimiento del control</v>
      </c>
      <c r="G11" s="146">
        <f>+VLOOKUP(A11,'Estado SCI'!$A$16:$L$59,12,0)</f>
        <v>20.123456789123399</v>
      </c>
      <c r="H11" s="146">
        <f t="shared" si="0"/>
        <v>11</v>
      </c>
      <c r="I11" s="146" t="str">
        <f>+IF(VLOOKUP(A11,'Estado SCI'!$A$16:$G$59,7,0)="","",VLOOKUP(A11,'Estado SCI'!$A$16:$G$59,7,0))</f>
        <v>Si</v>
      </c>
      <c r="J11" s="147">
        <f t="shared" si="2"/>
        <v>1</v>
      </c>
      <c r="K11" s="148">
        <f t="shared" si="1"/>
        <v>0.79166666666666663</v>
      </c>
    </row>
    <row r="12" spans="1:11" x14ac:dyDescent="0.25">
      <c r="A12" s="146" t="s">
        <v>204</v>
      </c>
      <c r="B12" s="146" t="s">
        <v>32</v>
      </c>
      <c r="C12" s="146" t="s">
        <v>33</v>
      </c>
      <c r="D12" s="146" t="s">
        <v>63</v>
      </c>
      <c r="E12" s="146" t="s">
        <v>64</v>
      </c>
      <c r="F12" s="146" t="str">
        <f>+VLOOKUP(A12,'Estado SCI'!$A$16:$I$59,9,0)</f>
        <v>Oportunidad de mejora</v>
      </c>
      <c r="G12" s="146">
        <f>+VLOOKUP(A12,'Estado SCI'!$A$16:$L$59,12,0)</f>
        <v>10.12345678912345</v>
      </c>
      <c r="H12" s="146">
        <f t="shared" si="0"/>
        <v>5</v>
      </c>
      <c r="I12" s="146" t="str">
        <f>+IF(VLOOKUP(A12,'Estado SCI'!$A$16:$G$59,7,0)="","",VLOOKUP(A12,'Estado SCI'!$A$16:$G$59,7,0))</f>
        <v>En proceso</v>
      </c>
      <c r="J12" s="147">
        <f t="shared" si="2"/>
        <v>0.5</v>
      </c>
      <c r="K12" s="148">
        <f t="shared" si="1"/>
        <v>0.79166666666666663</v>
      </c>
    </row>
    <row r="13" spans="1:11" x14ac:dyDescent="0.25">
      <c r="A13" s="146" t="s">
        <v>205</v>
      </c>
      <c r="B13" s="146" t="s">
        <v>32</v>
      </c>
      <c r="C13" s="146" t="s">
        <v>33</v>
      </c>
      <c r="D13" s="146" t="s">
        <v>66</v>
      </c>
      <c r="E13" s="146" t="s">
        <v>67</v>
      </c>
      <c r="F13" s="146" t="str">
        <f>+VLOOKUP(A13,'Estado SCI'!$A$16:$I$59,9,0)</f>
        <v>Mantenimiento del control</v>
      </c>
      <c r="G13" s="146">
        <f>+VLOOKUP(A13,'Estado SCI'!$A$16:$L$59,12,0)</f>
        <v>20.123456789123455</v>
      </c>
      <c r="H13" s="146">
        <f t="shared" si="0"/>
        <v>12</v>
      </c>
      <c r="I13" s="146" t="str">
        <f>+IF(VLOOKUP(A13,'Estado SCI'!$A$16:$G$59,7,0)="","",VLOOKUP(A13,'Estado SCI'!$A$16:$G$59,7,0))</f>
        <v>Si</v>
      </c>
      <c r="J13" s="147">
        <f t="shared" si="2"/>
        <v>1</v>
      </c>
      <c r="K13" s="148">
        <f t="shared" si="1"/>
        <v>0.79166666666666663</v>
      </c>
    </row>
    <row r="14" spans="1:11" ht="15" customHeight="1" x14ac:dyDescent="0.25">
      <c r="A14" s="146" t="s">
        <v>206</v>
      </c>
      <c r="B14" s="146" t="str">
        <f>+VLOOKUP(A14,'Estado SCI'!$A$16:$C$59,3,0)</f>
        <v>EVALUACION DEL RIESGO</v>
      </c>
      <c r="C14" s="146" t="s">
        <v>71</v>
      </c>
      <c r="D14" s="146" t="s">
        <v>34</v>
      </c>
      <c r="E14" s="146" t="s">
        <v>207</v>
      </c>
      <c r="F14" s="146" t="str">
        <f>+VLOOKUP(A14,'Estado SCI'!$A$16:$I$59,9,0)</f>
        <v>Mantenimiento del control</v>
      </c>
      <c r="G14" s="146">
        <f>+VLOOKUP(A14,'Estado SCI'!$A$16:$L$59,12,0)</f>
        <v>40.229999999999997</v>
      </c>
      <c r="H14" s="146">
        <f t="shared" si="0"/>
        <v>22</v>
      </c>
      <c r="I14" s="146" t="str">
        <f>+IF(VLOOKUP(A14,'Estado SCI'!$A$16:$G$59,7,0)="","",VLOOKUP(A14,'Estado SCI'!$A$16:$G$59,7,0))</f>
        <v>Si</v>
      </c>
      <c r="J14" s="147">
        <f t="shared" si="2"/>
        <v>1</v>
      </c>
      <c r="K14" s="148">
        <f t="shared" si="1"/>
        <v>0.45</v>
      </c>
    </row>
    <row r="15" spans="1:11" ht="15" customHeight="1" x14ac:dyDescent="0.25">
      <c r="A15" s="146" t="s">
        <v>208</v>
      </c>
      <c r="B15" s="146" t="s">
        <v>70</v>
      </c>
      <c r="C15" s="146" t="s">
        <v>71</v>
      </c>
      <c r="D15" s="146" t="s">
        <v>38</v>
      </c>
      <c r="E15" s="146" t="s">
        <v>209</v>
      </c>
      <c r="F15" s="146" t="str">
        <f>+VLOOKUP(A15,'Estado SCI'!$A$16:$I$59,9,0)</f>
        <v>Oportunidad de mejora</v>
      </c>
      <c r="G15" s="146">
        <f>+VLOOKUP(A15,'Estado SCI'!$A$16:$L$59,12,0)</f>
        <v>30.234000000000002</v>
      </c>
      <c r="H15" s="146">
        <f t="shared" si="0"/>
        <v>15</v>
      </c>
      <c r="I15" s="146" t="str">
        <f>+IF(VLOOKUP(A15,'Estado SCI'!$A$16:$G$59,7,0)="","",VLOOKUP(A15,'Estado SCI'!$A$16:$G$59,7,0))</f>
        <v>En proceso</v>
      </c>
      <c r="J15" s="147">
        <f t="shared" si="2"/>
        <v>0.5</v>
      </c>
      <c r="K15" s="148">
        <f t="shared" si="1"/>
        <v>0.45</v>
      </c>
    </row>
    <row r="16" spans="1:11" ht="15" customHeight="1" x14ac:dyDescent="0.25">
      <c r="A16" s="146" t="s">
        <v>210</v>
      </c>
      <c r="B16" s="146" t="s">
        <v>70</v>
      </c>
      <c r="C16" s="146" t="s">
        <v>71</v>
      </c>
      <c r="D16" s="146" t="s">
        <v>41</v>
      </c>
      <c r="E16" s="146" t="s">
        <v>211</v>
      </c>
      <c r="F16" s="146" t="str">
        <f>+VLOOKUP(A16,'Estado SCI'!$A$16:$I$59,9,0)</f>
        <v>Oportunidad de mejora</v>
      </c>
      <c r="G16" s="146">
        <f>+VLOOKUP(A16,'Estado SCI'!$A$16:$L$59,12,0)</f>
        <v>30.234500000000001</v>
      </c>
      <c r="H16" s="146">
        <f t="shared" si="0"/>
        <v>16</v>
      </c>
      <c r="I16" s="146" t="str">
        <f>+IF(VLOOKUP(A16,'Estado SCI'!$A$16:$G$59,7,0)="","",VLOOKUP(A16,'Estado SCI'!$A$16:$G$59,7,0))</f>
        <v>En proceso</v>
      </c>
      <c r="J16" s="147">
        <f t="shared" si="2"/>
        <v>0.5</v>
      </c>
      <c r="K16" s="148">
        <f t="shared" si="1"/>
        <v>0.45</v>
      </c>
    </row>
    <row r="17" spans="1:11" ht="15.75" customHeight="1" x14ac:dyDescent="0.25">
      <c r="A17" s="146" t="s">
        <v>212</v>
      </c>
      <c r="B17" s="146" t="s">
        <v>70</v>
      </c>
      <c r="C17" s="146" t="s">
        <v>71</v>
      </c>
      <c r="D17" s="146" t="s">
        <v>44</v>
      </c>
      <c r="E17" s="146" t="s">
        <v>78</v>
      </c>
      <c r="F17" s="146" t="str">
        <f>+VLOOKUP(A17,'Estado SCI'!$A$16:$I$59,9,0)</f>
        <v>Oportunidad de mejora</v>
      </c>
      <c r="G17" s="146">
        <f>+VLOOKUP(A17,'Estado SCI'!$A$16:$L$59,12,0)</f>
        <v>30.234559999999998</v>
      </c>
      <c r="H17" s="146">
        <f t="shared" si="0"/>
        <v>17</v>
      </c>
      <c r="I17" s="146" t="str">
        <f>+IF(VLOOKUP(A17,'Estado SCI'!$A$16:$G$59,7,0)="","",VLOOKUP(A17,'Estado SCI'!$A$16:$G$59,7,0))</f>
        <v>En proceso</v>
      </c>
      <c r="J17" s="147">
        <f t="shared" si="2"/>
        <v>0.5</v>
      </c>
      <c r="K17" s="148">
        <f t="shared" si="1"/>
        <v>0.45</v>
      </c>
    </row>
    <row r="18" spans="1:11" ht="15" customHeight="1" x14ac:dyDescent="0.25">
      <c r="A18" s="146" t="s">
        <v>213</v>
      </c>
      <c r="B18" s="146" t="s">
        <v>70</v>
      </c>
      <c r="C18" s="146" t="s">
        <v>99</v>
      </c>
      <c r="D18" s="146" t="s">
        <v>34</v>
      </c>
      <c r="E18" s="146" t="s">
        <v>82</v>
      </c>
      <c r="F18" s="146" t="str">
        <f>+VLOOKUP(A18,'Estado SCI'!$A$16:$I$59,9,0)</f>
        <v>Oportunidad de mejora</v>
      </c>
      <c r="G18" s="146">
        <f>+VLOOKUP(A18,'Estado SCI'!$A$16:$L$59,12,0)</f>
        <v>30.234566999999998</v>
      </c>
      <c r="H18" s="146">
        <f t="shared" si="0"/>
        <v>18</v>
      </c>
      <c r="I18" s="146" t="str">
        <f>+IF(VLOOKUP(A18,'Estado SCI'!$A$16:$G$59,7,0)="","",VLOOKUP(A18,'Estado SCI'!$A$16:$G$59,7,0))</f>
        <v>En proceso</v>
      </c>
      <c r="J18" s="147">
        <f t="shared" si="2"/>
        <v>0.5</v>
      </c>
      <c r="K18" s="148">
        <f t="shared" si="1"/>
        <v>0.45</v>
      </c>
    </row>
    <row r="19" spans="1:11" ht="15" customHeight="1" x14ac:dyDescent="0.25">
      <c r="A19" s="146" t="s">
        <v>214</v>
      </c>
      <c r="B19" s="146" t="s">
        <v>70</v>
      </c>
      <c r="C19" s="146" t="s">
        <v>99</v>
      </c>
      <c r="D19" s="146" t="s">
        <v>38</v>
      </c>
      <c r="E19" s="146" t="s">
        <v>84</v>
      </c>
      <c r="F19" s="146" t="str">
        <f>+VLOOKUP(A19,'Estado SCI'!$A$16:$I$59,9,0)</f>
        <v>Oportunidad de mejora</v>
      </c>
      <c r="G19" s="146">
        <f>+VLOOKUP(A19,'Estado SCI'!$A$16:$L$59,12,0)</f>
        <v>30.234567800000001</v>
      </c>
      <c r="H19" s="146">
        <f t="shared" si="0"/>
        <v>19</v>
      </c>
      <c r="I19" s="146" t="str">
        <f>+IF(VLOOKUP(A19,'Estado SCI'!$A$16:$G$59,7,0)="","",VLOOKUP(A19,'Estado SCI'!$A$16:$G$59,7,0))</f>
        <v>En proceso</v>
      </c>
      <c r="J19" s="147">
        <f t="shared" si="2"/>
        <v>0.5</v>
      </c>
      <c r="K19" s="148">
        <f t="shared" si="1"/>
        <v>0.45</v>
      </c>
    </row>
    <row r="20" spans="1:11" ht="15" customHeight="1" x14ac:dyDescent="0.25">
      <c r="A20" s="146" t="s">
        <v>215</v>
      </c>
      <c r="B20" s="146" t="s">
        <v>70</v>
      </c>
      <c r="C20" s="146" t="s">
        <v>99</v>
      </c>
      <c r="D20" s="146" t="s">
        <v>41</v>
      </c>
      <c r="E20" s="146" t="s">
        <v>86</v>
      </c>
      <c r="F20" s="146" t="str">
        <f>+VLOOKUP(A20,'Estado SCI'!$A$16:$I$59,9,0)</f>
        <v>Oportunidad de mejora</v>
      </c>
      <c r="G20" s="146">
        <f>+VLOOKUP(A20,'Estado SCI'!$A$16:$L$59,12,0)</f>
        <v>30.234567890000001</v>
      </c>
      <c r="H20" s="146">
        <f t="shared" si="0"/>
        <v>20</v>
      </c>
      <c r="I20" s="146" t="str">
        <f>+IF(VLOOKUP(A20,'Estado SCI'!$A$16:$G$59,7,0)="","",VLOOKUP(A20,'Estado SCI'!$A$16:$G$59,7,0))</f>
        <v>En proceso</v>
      </c>
      <c r="J20" s="147">
        <f t="shared" si="2"/>
        <v>0.5</v>
      </c>
      <c r="K20" s="148">
        <f t="shared" si="1"/>
        <v>0.45</v>
      </c>
    </row>
    <row r="21" spans="1:11" ht="15.75" customHeight="1" x14ac:dyDescent="0.25">
      <c r="A21" s="146" t="s">
        <v>216</v>
      </c>
      <c r="B21" s="146" t="s">
        <v>70</v>
      </c>
      <c r="C21" s="146" t="s">
        <v>99</v>
      </c>
      <c r="D21" s="146" t="s">
        <v>34</v>
      </c>
      <c r="E21" s="146" t="s">
        <v>90</v>
      </c>
      <c r="F21" s="146" t="str">
        <f>+VLOOKUP(A21,'Estado SCI'!$A$16:$I$59,9,0)</f>
        <v>Deficiencia de control</v>
      </c>
      <c r="G21" s="146">
        <f>+VLOOKUP(A21,'Estado SCI'!$A$16:$L$59,12,0)</f>
        <v>20.234567891200001</v>
      </c>
      <c r="H21" s="146">
        <f t="shared" si="0"/>
        <v>13</v>
      </c>
      <c r="I21" s="146" t="str">
        <f>+IF(VLOOKUP(A21,'Estado SCI'!$A$16:$G$59,7,0)="","",VLOOKUP(A21,'Estado SCI'!$A$16:$G$59,7,0))</f>
        <v>No</v>
      </c>
      <c r="J21" s="147">
        <f t="shared" si="2"/>
        <v>0</v>
      </c>
      <c r="K21" s="148">
        <f t="shared" si="1"/>
        <v>0.45</v>
      </c>
    </row>
    <row r="22" spans="1:11" ht="15" customHeight="1" x14ac:dyDescent="0.25">
      <c r="A22" s="146" t="s">
        <v>217</v>
      </c>
      <c r="B22" s="146" t="s">
        <v>70</v>
      </c>
      <c r="C22" s="146" t="s">
        <v>112</v>
      </c>
      <c r="D22" s="146" t="s">
        <v>38</v>
      </c>
      <c r="E22" s="146" t="s">
        <v>93</v>
      </c>
      <c r="F22" s="146" t="str">
        <f>+VLOOKUP(A22,'Estado SCI'!$A$16:$I$59,9,0)</f>
        <v>Oportunidad de mejora</v>
      </c>
      <c r="G22" s="146">
        <f>+VLOOKUP(A22,'Estado SCI'!$A$16:$L$59,12,0)</f>
        <v>30.23456789123</v>
      </c>
      <c r="H22" s="146">
        <f t="shared" si="0"/>
        <v>21</v>
      </c>
      <c r="I22" s="146" t="str">
        <f>+IF(VLOOKUP(A22,'Estado SCI'!$A$16:$G$59,7,0)="","",VLOOKUP(A22,'Estado SCI'!$A$16:$G$59,7,0))</f>
        <v>En proceso</v>
      </c>
      <c r="J22" s="147">
        <f t="shared" si="2"/>
        <v>0.5</v>
      </c>
      <c r="K22" s="148">
        <f t="shared" si="1"/>
        <v>0.45</v>
      </c>
    </row>
    <row r="23" spans="1:11" ht="15" customHeight="1" x14ac:dyDescent="0.25">
      <c r="A23" s="146" t="s">
        <v>218</v>
      </c>
      <c r="B23" s="146" t="s">
        <v>70</v>
      </c>
      <c r="C23" s="146" t="s">
        <v>112</v>
      </c>
      <c r="D23" s="146" t="s">
        <v>41</v>
      </c>
      <c r="E23" s="146" t="s">
        <v>95</v>
      </c>
      <c r="F23" s="146" t="str">
        <f>+VLOOKUP(A23,'Estado SCI'!$A$16:$I$59,9,0)</f>
        <v>Deficiencia de control</v>
      </c>
      <c r="G23" s="146">
        <f>+VLOOKUP(A23,'Estado SCI'!$A$16:$L$59,12,0)</f>
        <v>20.234567891234001</v>
      </c>
      <c r="H23" s="146">
        <f t="shared" si="0"/>
        <v>14</v>
      </c>
      <c r="I23" s="146" t="str">
        <f>+IF(VLOOKUP(A23,'Estado SCI'!$A$16:$G$59,7,0)="","",VLOOKUP(A23,'Estado SCI'!$A$16:$G$59,7,0))</f>
        <v>No</v>
      </c>
      <c r="J23" s="147">
        <f t="shared" si="2"/>
        <v>0</v>
      </c>
      <c r="K23" s="148">
        <f t="shared" si="1"/>
        <v>0.45</v>
      </c>
    </row>
    <row r="24" spans="1:11" ht="15" customHeight="1" x14ac:dyDescent="0.25">
      <c r="A24" s="146" t="s">
        <v>219</v>
      </c>
      <c r="B24" s="146" t="str">
        <f>+VLOOKUP(A24,'Estado SCI'!$A$16:$C$59,3,0)</f>
        <v>ACTIVIDADES DE CONTROL</v>
      </c>
      <c r="C24" s="146" t="s">
        <v>112</v>
      </c>
      <c r="D24" s="146" t="s">
        <v>34</v>
      </c>
      <c r="E24" s="146" t="s">
        <v>100</v>
      </c>
      <c r="F24" s="146" t="str">
        <f>+VLOOKUP(A24,'Estado SCI'!$A$16:$I$59,9,0)</f>
        <v>Oportunidad de mejora</v>
      </c>
      <c r="G24" s="146">
        <f>+VLOOKUP(A24,'Estado SCI'!$A$16:$L$59,12,0)</f>
        <v>50.31</v>
      </c>
      <c r="H24" s="146">
        <f t="shared" si="0"/>
        <v>23</v>
      </c>
      <c r="I24" s="146" t="str">
        <f>+IF(VLOOKUP(A24,'Estado SCI'!$A$16:$G$59,7,0)="","",VLOOKUP(A24,'Estado SCI'!$A$16:$G$59,7,0))</f>
        <v>En proceso</v>
      </c>
      <c r="J24" s="147">
        <f t="shared" si="2"/>
        <v>0.5</v>
      </c>
      <c r="K24" s="148">
        <f t="shared" si="1"/>
        <v>0.6</v>
      </c>
    </row>
    <row r="25" spans="1:11" ht="15" customHeight="1" x14ac:dyDescent="0.25">
      <c r="A25" s="146" t="s">
        <v>220</v>
      </c>
      <c r="B25" s="146" t="s">
        <v>98</v>
      </c>
      <c r="C25" s="146" t="s">
        <v>112</v>
      </c>
      <c r="D25" s="146" t="s">
        <v>38</v>
      </c>
      <c r="E25" s="146" t="s">
        <v>102</v>
      </c>
      <c r="F25" s="146" t="str">
        <f>+VLOOKUP(A25,'Estado SCI'!$A$16:$I$59,9,0)</f>
        <v>Oportunidad de mejora</v>
      </c>
      <c r="G25" s="146">
        <f>+VLOOKUP(A25,'Estado SCI'!$A$16:$L$59,12,0)</f>
        <v>50.323</v>
      </c>
      <c r="H25" s="146">
        <f t="shared" si="0"/>
        <v>24</v>
      </c>
      <c r="I25" s="146" t="str">
        <f>+IF(VLOOKUP(A25,'Estado SCI'!$A$16:$G$59,7,0)="","",VLOOKUP(A25,'Estado SCI'!$A$16:$G$59,7,0))</f>
        <v>En proceso</v>
      </c>
      <c r="J25" s="147">
        <f t="shared" si="2"/>
        <v>0.5</v>
      </c>
      <c r="K25" s="148">
        <f t="shared" si="1"/>
        <v>0.6</v>
      </c>
    </row>
    <row r="26" spans="1:11" ht="15" customHeight="1" x14ac:dyDescent="0.25">
      <c r="A26" s="146" t="s">
        <v>221</v>
      </c>
      <c r="B26" s="146" t="s">
        <v>98</v>
      </c>
      <c r="C26" s="146" t="s">
        <v>112</v>
      </c>
      <c r="D26" s="146" t="s">
        <v>41</v>
      </c>
      <c r="E26" s="146" t="s">
        <v>104</v>
      </c>
      <c r="F26" s="146" t="str">
        <f>+VLOOKUP(A26,'Estado SCI'!$A$16:$I$59,9,0)</f>
        <v>Mantenimiento del control</v>
      </c>
      <c r="G26" s="146">
        <f>+VLOOKUP(A26,'Estado SCI'!$A$16:$L$59,12,0)</f>
        <v>60.323999999999998</v>
      </c>
      <c r="H26" s="146">
        <f t="shared" si="0"/>
        <v>27</v>
      </c>
      <c r="I26" s="146" t="str">
        <f>+IF(VLOOKUP(A26,'Estado SCI'!$A$16:$G$59,7,0)="","",VLOOKUP(A26,'Estado SCI'!$A$16:$G$59,7,0))</f>
        <v>Si</v>
      </c>
      <c r="J26" s="147">
        <f t="shared" si="2"/>
        <v>1</v>
      </c>
      <c r="K26" s="148">
        <f t="shared" si="1"/>
        <v>0.6</v>
      </c>
    </row>
    <row r="27" spans="1:11" ht="15.75" customHeight="1" x14ac:dyDescent="0.25">
      <c r="A27" s="146" t="s">
        <v>222</v>
      </c>
      <c r="B27" s="146" t="s">
        <v>98</v>
      </c>
      <c r="C27" s="146" t="s">
        <v>112</v>
      </c>
      <c r="D27" s="146" t="s">
        <v>44</v>
      </c>
      <c r="E27" s="146" t="s">
        <v>106</v>
      </c>
      <c r="F27" s="146" t="str">
        <f>+VLOOKUP(A27,'Estado SCI'!$A$16:$I$59,9,0)</f>
        <v>Oportunidad de mejora</v>
      </c>
      <c r="G27" s="146">
        <f>+VLOOKUP(A27,'Estado SCI'!$A$16:$L$59,12,0)</f>
        <v>50.325000000000003</v>
      </c>
      <c r="H27" s="146">
        <f t="shared" si="0"/>
        <v>25</v>
      </c>
      <c r="I27" s="146" t="str">
        <f>+IF(VLOOKUP(A27,'Estado SCI'!$A$16:$G$59,7,0)="","",VLOOKUP(A27,'Estado SCI'!$A$16:$G$59,7,0))</f>
        <v>En proceso</v>
      </c>
      <c r="J27" s="147">
        <f t="shared" si="2"/>
        <v>0.5</v>
      </c>
      <c r="K27" s="148">
        <f t="shared" si="1"/>
        <v>0.6</v>
      </c>
    </row>
    <row r="28" spans="1:11" ht="15" customHeight="1" x14ac:dyDescent="0.25">
      <c r="A28" s="146" t="s">
        <v>223</v>
      </c>
      <c r="B28" s="146" t="s">
        <v>98</v>
      </c>
      <c r="C28" s="146" t="s">
        <v>129</v>
      </c>
      <c r="D28" s="146" t="s">
        <v>47</v>
      </c>
      <c r="E28" s="146" t="s">
        <v>108</v>
      </c>
      <c r="F28" s="146" t="str">
        <f>+VLOOKUP(A28,'Estado SCI'!$A$16:$I$59,9,0)</f>
        <v>Oportunidad de mejora</v>
      </c>
      <c r="G28" s="146">
        <f>+VLOOKUP(A28,'Estado SCI'!$A$16:$L$59,12,0)</f>
        <v>50.326000000000001</v>
      </c>
      <c r="H28" s="146">
        <f t="shared" si="0"/>
        <v>26</v>
      </c>
      <c r="I28" s="146" t="str">
        <f>+IF(VLOOKUP(A28,'Estado SCI'!$A$16:$G$59,7,0)="","",VLOOKUP(A28,'Estado SCI'!$A$16:$G$59,7,0))</f>
        <v>En proceso</v>
      </c>
      <c r="J28" s="147">
        <f t="shared" si="2"/>
        <v>0.5</v>
      </c>
      <c r="K28" s="148">
        <f t="shared" si="1"/>
        <v>0.6</v>
      </c>
    </row>
    <row r="29" spans="1:11" ht="15" customHeight="1" x14ac:dyDescent="0.25">
      <c r="A29" s="146" t="s">
        <v>224</v>
      </c>
      <c r="B29" s="146" t="str">
        <f>+VLOOKUP(A29,'Estado SCI'!$A$16:$C$59,3,0)</f>
        <v>INFORMACION Y COMUNICACIÓN</v>
      </c>
      <c r="C29" s="146" t="s">
        <v>129</v>
      </c>
      <c r="D29" s="146" t="s">
        <v>34</v>
      </c>
      <c r="E29" s="146" t="s">
        <v>113</v>
      </c>
      <c r="F29" s="146" t="str">
        <f>+VLOOKUP(A29,'Estado SCI'!$A$16:$I$59,9,0)</f>
        <v>Mantenimiento del control</v>
      </c>
      <c r="G29" s="146">
        <f>+VLOOKUP(A29,'Estado SCI'!$A$16:$L$59,12,0)</f>
        <v>80.412000000000006</v>
      </c>
      <c r="H29" s="146">
        <f t="shared" si="0"/>
        <v>28</v>
      </c>
      <c r="I29" s="146" t="str">
        <f>+IF(VLOOKUP(A29,'Estado SCI'!$A$16:$G$59,7,0)="","",VLOOKUP(A29,'Estado SCI'!$A$16:$G$59,7,0))</f>
        <v>Si</v>
      </c>
      <c r="J29" s="147">
        <f t="shared" si="2"/>
        <v>1</v>
      </c>
      <c r="K29" s="148">
        <f t="shared" si="1"/>
        <v>1</v>
      </c>
    </row>
    <row r="30" spans="1:11" ht="15" customHeight="1" x14ac:dyDescent="0.25">
      <c r="A30" s="146" t="s">
        <v>225</v>
      </c>
      <c r="B30" s="146" t="s">
        <v>111</v>
      </c>
      <c r="C30" s="146" t="s">
        <v>129</v>
      </c>
      <c r="D30" s="146" t="s">
        <v>38</v>
      </c>
      <c r="E30" s="146" t="s">
        <v>115</v>
      </c>
      <c r="F30" s="146" t="str">
        <f>+VLOOKUP(A30,'Estado SCI'!$A$16:$I$59,9,0)</f>
        <v>Mantenimiento del control</v>
      </c>
      <c r="G30" s="146">
        <f>+VLOOKUP(A30,'Estado SCI'!$A$16:$L$59,12,0)</f>
        <v>80.412300000000002</v>
      </c>
      <c r="H30" s="146">
        <f t="shared" si="0"/>
        <v>29</v>
      </c>
      <c r="I30" s="146" t="str">
        <f>+IF(VLOOKUP(A30,'Estado SCI'!$A$16:$G$59,7,0)="","",VLOOKUP(A30,'Estado SCI'!$A$16:$G$59,7,0))</f>
        <v>Si</v>
      </c>
      <c r="J30" s="147">
        <f t="shared" si="2"/>
        <v>1</v>
      </c>
      <c r="K30" s="148">
        <f t="shared" si="1"/>
        <v>1</v>
      </c>
    </row>
    <row r="31" spans="1:11" ht="15.75" customHeight="1" x14ac:dyDescent="0.25">
      <c r="A31" s="146" t="s">
        <v>226</v>
      </c>
      <c r="B31" s="146" t="s">
        <v>111</v>
      </c>
      <c r="C31" s="146" t="s">
        <v>129</v>
      </c>
      <c r="D31" s="146" t="s">
        <v>41</v>
      </c>
      <c r="E31" s="146" t="s">
        <v>117</v>
      </c>
      <c r="F31" s="146" t="str">
        <f>+VLOOKUP(A31,'Estado SCI'!$A$16:$I$59,9,0)</f>
        <v>Mantenimiento del control</v>
      </c>
      <c r="G31" s="146">
        <f>+VLOOKUP(A31,'Estado SCI'!$A$16:$L$59,12,0)</f>
        <v>80.41234</v>
      </c>
      <c r="H31" s="146">
        <f t="shared" si="0"/>
        <v>30</v>
      </c>
      <c r="I31" s="146" t="str">
        <f>+IF(VLOOKUP(A31,'Estado SCI'!$A$16:$G$59,7,0)="","",VLOOKUP(A31,'Estado SCI'!$A$16:$G$59,7,0))</f>
        <v>Si</v>
      </c>
      <c r="J31" s="147">
        <f t="shared" si="2"/>
        <v>1</v>
      </c>
      <c r="K31" s="148">
        <f t="shared" si="1"/>
        <v>1</v>
      </c>
    </row>
    <row r="32" spans="1:11" x14ac:dyDescent="0.25">
      <c r="A32" s="146" t="s">
        <v>227</v>
      </c>
      <c r="B32" s="146" t="s">
        <v>111</v>
      </c>
      <c r="C32" s="146" t="s">
        <v>139</v>
      </c>
      <c r="D32" s="146" t="s">
        <v>44</v>
      </c>
      <c r="E32" s="146" t="s">
        <v>119</v>
      </c>
      <c r="F32" s="146" t="str">
        <f>+VLOOKUP(A32,'Estado SCI'!$A$16:$I$59,9,0)</f>
        <v>Mantenimiento del control</v>
      </c>
      <c r="G32" s="146">
        <f>+VLOOKUP(A32,'Estado SCI'!$A$16:$L$59,12,0)</f>
        <v>80.412345000000002</v>
      </c>
      <c r="H32" s="146">
        <f t="shared" si="0"/>
        <v>31</v>
      </c>
      <c r="I32" s="146" t="str">
        <f>+IF(VLOOKUP(A32,'Estado SCI'!$A$16:$G$59,7,0)="","",VLOOKUP(A32,'Estado SCI'!$A$16:$G$59,7,0))</f>
        <v>Si</v>
      </c>
      <c r="J32" s="147">
        <f t="shared" si="2"/>
        <v>1</v>
      </c>
      <c r="K32" s="148">
        <f t="shared" si="1"/>
        <v>1</v>
      </c>
    </row>
    <row r="33" spans="1:11" x14ac:dyDescent="0.25">
      <c r="A33" s="146" t="s">
        <v>228</v>
      </c>
      <c r="B33" s="146" t="s">
        <v>111</v>
      </c>
      <c r="C33" s="146" t="s">
        <v>229</v>
      </c>
      <c r="D33" s="146" t="s">
        <v>47</v>
      </c>
      <c r="E33" s="146" t="s">
        <v>121</v>
      </c>
      <c r="F33" s="146" t="str">
        <f>+VLOOKUP(A33,'Estado SCI'!$A$16:$I$59,9,0)</f>
        <v>Mantenimiento del control</v>
      </c>
      <c r="G33" s="146">
        <f>+VLOOKUP(A33,'Estado SCI'!$A$16:$L$59,12,0)</f>
        <v>80.412345599999995</v>
      </c>
      <c r="H33" s="146">
        <f t="shared" si="0"/>
        <v>32</v>
      </c>
      <c r="I33" s="146" t="str">
        <f>+IF(VLOOKUP(A33,'Estado SCI'!$A$16:$G$59,7,0)="","",VLOOKUP(A33,'Estado SCI'!$A$16:$G$59,7,0))</f>
        <v>Si</v>
      </c>
      <c r="J33" s="147">
        <f t="shared" si="2"/>
        <v>1</v>
      </c>
      <c r="K33" s="148">
        <f t="shared" si="1"/>
        <v>1</v>
      </c>
    </row>
    <row r="34" spans="1:11" x14ac:dyDescent="0.25">
      <c r="A34" s="146" t="s">
        <v>230</v>
      </c>
      <c r="B34" s="146" t="s">
        <v>111</v>
      </c>
      <c r="C34" s="146" t="s">
        <v>229</v>
      </c>
      <c r="D34" s="146" t="s">
        <v>50</v>
      </c>
      <c r="E34" s="146" t="s">
        <v>123</v>
      </c>
      <c r="F34" s="146" t="str">
        <f>+VLOOKUP(A34,'Estado SCI'!$A$16:$I$59,9,0)</f>
        <v>Mantenimiento del control</v>
      </c>
      <c r="G34" s="146">
        <f>+VLOOKUP(A34,'Estado SCI'!$A$16:$L$59,12,0)</f>
        <v>80.412345669999993</v>
      </c>
      <c r="H34" s="146">
        <f t="shared" si="0"/>
        <v>33</v>
      </c>
      <c r="I34" s="146" t="str">
        <f>+IF(VLOOKUP(A34,'Estado SCI'!$A$16:$G$59,7,0)="","",VLOOKUP(A34,'Estado SCI'!$A$16:$G$59,7,0))</f>
        <v>Si</v>
      </c>
      <c r="J34" s="147">
        <f t="shared" si="2"/>
        <v>1</v>
      </c>
      <c r="K34" s="148">
        <f t="shared" si="1"/>
        <v>1</v>
      </c>
    </row>
    <row r="35" spans="1:11" x14ac:dyDescent="0.25">
      <c r="A35" s="146" t="s">
        <v>231</v>
      </c>
      <c r="B35" s="146" t="s">
        <v>111</v>
      </c>
      <c r="C35" s="146" t="s">
        <v>229</v>
      </c>
      <c r="D35" s="146" t="s">
        <v>53</v>
      </c>
      <c r="E35" s="146" t="s">
        <v>125</v>
      </c>
      <c r="F35" s="146" t="str">
        <f>+VLOOKUP(A35,'Estado SCI'!$A$16:$I$59,9,0)</f>
        <v>Mantenimiento del control</v>
      </c>
      <c r="G35" s="146">
        <f>+VLOOKUP(A35,'Estado SCI'!$A$16:$L$59,12,0)</f>
        <v>80.412345677999994</v>
      </c>
      <c r="H35" s="146">
        <f t="shared" si="0"/>
        <v>34</v>
      </c>
      <c r="I35" s="146" t="str">
        <f>+IF(VLOOKUP(A35,'Estado SCI'!$A$16:$G$59,7,0)="","",VLOOKUP(A35,'Estado SCI'!$A$16:$G$59,7,0))</f>
        <v>Si</v>
      </c>
      <c r="J35" s="147">
        <f t="shared" si="2"/>
        <v>1</v>
      </c>
      <c r="K35" s="148">
        <f t="shared" si="1"/>
        <v>1</v>
      </c>
    </row>
    <row r="36" spans="1:11" x14ac:dyDescent="0.25">
      <c r="A36" s="146" t="s">
        <v>232</v>
      </c>
      <c r="B36" s="146" t="str">
        <f>+VLOOKUP(A36,'Estado SCI'!$A$16:$C$59,3,0)</f>
        <v>ACTIVIDADES DE MONITOREO</v>
      </c>
      <c r="C36" s="146" t="s">
        <v>229</v>
      </c>
      <c r="D36" s="146" t="s">
        <v>34</v>
      </c>
      <c r="E36" s="146" t="s">
        <v>130</v>
      </c>
      <c r="F36" s="146" t="str">
        <f>+VLOOKUP(A36,'Estado SCI'!$A$16:$I$59,9,0)</f>
        <v>Mantenimiento del control</v>
      </c>
      <c r="G36" s="146">
        <f>+VLOOKUP(A36,'Estado SCI'!$A$16:$L$59,12,0)</f>
        <v>120.851</v>
      </c>
      <c r="H36" s="146">
        <f t="shared" si="0"/>
        <v>43</v>
      </c>
      <c r="I36" s="146" t="str">
        <f>+IF(VLOOKUP(A36,'Estado SCI'!$A$16:$G$59,7,0)="","",VLOOKUP(A36,'Estado SCI'!$A$16:$G$59,7,0))</f>
        <v>Si</v>
      </c>
      <c r="J36" s="147">
        <f t="shared" si="2"/>
        <v>1</v>
      </c>
      <c r="K36" s="148">
        <f t="shared" si="1"/>
        <v>0.4</v>
      </c>
    </row>
    <row r="37" spans="1:11" x14ac:dyDescent="0.25">
      <c r="A37" s="146" t="s">
        <v>233</v>
      </c>
      <c r="B37" s="146" t="s">
        <v>128</v>
      </c>
      <c r="C37" s="146" t="s">
        <v>229</v>
      </c>
      <c r="D37" s="146" t="s">
        <v>44</v>
      </c>
      <c r="E37" s="146" t="s">
        <v>132</v>
      </c>
      <c r="F37" s="146" t="str">
        <f>+VLOOKUP(A37,'Estado SCI'!$A$16:$I$59,9,0)</f>
        <v>Mantenimiento del control</v>
      </c>
      <c r="G37" s="146">
        <f>+VLOOKUP(A37,'Estado SCI'!$A$16:$L$59,12,0)</f>
        <v>120.85120000000001</v>
      </c>
      <c r="H37" s="146">
        <f t="shared" si="0"/>
        <v>44</v>
      </c>
      <c r="I37" s="146" t="str">
        <f>+IF(VLOOKUP(A37,'Estado SCI'!$A$16:$G$59,7,0)="","",VLOOKUP(A37,'Estado SCI'!$A$16:$G$59,7,0))</f>
        <v>Si</v>
      </c>
      <c r="J37" s="147">
        <f t="shared" si="2"/>
        <v>1</v>
      </c>
      <c r="K37" s="148">
        <f t="shared" si="1"/>
        <v>0.4</v>
      </c>
    </row>
    <row r="38" spans="1:11" x14ac:dyDescent="0.25">
      <c r="A38" s="146" t="s">
        <v>234</v>
      </c>
      <c r="B38" s="146" t="s">
        <v>128</v>
      </c>
      <c r="C38" s="146" t="s">
        <v>81</v>
      </c>
      <c r="D38" s="146" t="s">
        <v>50</v>
      </c>
      <c r="E38" s="146" t="s">
        <v>134</v>
      </c>
      <c r="F38" s="146" t="str">
        <f>+VLOOKUP(A38,'Estado SCI'!$A$16:$I$59,9,0)</f>
        <v>Oportunidad de mejora</v>
      </c>
      <c r="G38" s="146">
        <f>+VLOOKUP(A38,'Estado SCI'!$A$16:$L$59,12,0)</f>
        <v>100.85123</v>
      </c>
      <c r="H38" s="146">
        <f t="shared" si="0"/>
        <v>39</v>
      </c>
      <c r="I38" s="146" t="str">
        <f>+IF(VLOOKUP(A38,'Estado SCI'!$A$16:$G$59,7,0)="","",VLOOKUP(A38,'Estado SCI'!$A$16:$G$59,7,0))</f>
        <v>En proceso</v>
      </c>
      <c r="J38" s="147">
        <f t="shared" si="2"/>
        <v>0.5</v>
      </c>
      <c r="K38" s="148">
        <f t="shared" si="1"/>
        <v>0.4</v>
      </c>
    </row>
    <row r="39" spans="1:11" x14ac:dyDescent="0.25">
      <c r="A39" s="146" t="s">
        <v>235</v>
      </c>
      <c r="B39" s="146" t="s">
        <v>128</v>
      </c>
      <c r="C39" s="146" t="s">
        <v>81</v>
      </c>
      <c r="D39" s="146" t="s">
        <v>53</v>
      </c>
      <c r="E39" s="146" t="s">
        <v>136</v>
      </c>
      <c r="F39" s="146" t="str">
        <f>+VLOOKUP(A39,'Estado SCI'!$A$16:$I$59,9,0)</f>
        <v>Oportunidad de mejora</v>
      </c>
      <c r="G39" s="146">
        <f>+VLOOKUP(A39,'Estado SCI'!$A$16:$L$59,12,0)</f>
        <v>100.85123400000001</v>
      </c>
      <c r="H39" s="146">
        <f t="shared" si="0"/>
        <v>40</v>
      </c>
      <c r="I39" s="146" t="str">
        <f>+IF(VLOOKUP(A39,'Estado SCI'!$A$16:$G$59,7,0)="","",VLOOKUP(A39,'Estado SCI'!$A$16:$G$59,7,0))</f>
        <v>En proceso</v>
      </c>
      <c r="J39" s="147">
        <f t="shared" si="2"/>
        <v>0.5</v>
      </c>
      <c r="K39" s="148">
        <f t="shared" si="1"/>
        <v>0.4</v>
      </c>
    </row>
    <row r="40" spans="1:11" x14ac:dyDescent="0.25">
      <c r="A40" s="146" t="s">
        <v>236</v>
      </c>
      <c r="B40" s="146" t="s">
        <v>128</v>
      </c>
      <c r="C40" s="146" t="s">
        <v>81</v>
      </c>
      <c r="D40" s="146" t="s">
        <v>56</v>
      </c>
      <c r="E40" s="146" t="s">
        <v>140</v>
      </c>
      <c r="F40" s="146" t="str">
        <f>+VLOOKUP(A40,'Estado SCI'!$A$16:$I$59,9,0)</f>
        <v>Deficiencia de control</v>
      </c>
      <c r="G40" s="146">
        <f>+VLOOKUP(A40,'Estado SCI'!$A$16:$L$59,12,0)</f>
        <v>80.851234500000004</v>
      </c>
      <c r="H40" s="146">
        <f t="shared" si="0"/>
        <v>35</v>
      </c>
      <c r="I40" s="146" t="str">
        <f>+IF(VLOOKUP(A40,'Estado SCI'!$A$16:$G$59,7,0)="","",VLOOKUP(A40,'Estado SCI'!$A$16:$G$59,7,0))</f>
        <v>No</v>
      </c>
      <c r="J40" s="147">
        <f t="shared" si="2"/>
        <v>0</v>
      </c>
      <c r="K40" s="148">
        <f t="shared" si="1"/>
        <v>0.4</v>
      </c>
    </row>
    <row r="41" spans="1:11" x14ac:dyDescent="0.25">
      <c r="A41" s="146" t="s">
        <v>237</v>
      </c>
      <c r="B41" s="146" t="s">
        <v>128</v>
      </c>
      <c r="C41" s="146" t="s">
        <v>81</v>
      </c>
      <c r="D41" s="146" t="s">
        <v>34</v>
      </c>
      <c r="E41" s="146" t="s">
        <v>144</v>
      </c>
      <c r="F41" s="146" t="str">
        <f>+VLOOKUP(A41,'Estado SCI'!$A$16:$I$59,9,0)</f>
        <v>Deficiencia de control</v>
      </c>
      <c r="G41" s="146">
        <f>+VLOOKUP(A41,'Estado SCI'!$A$16:$L$59,12,0)</f>
        <v>80.851234559999995</v>
      </c>
      <c r="H41" s="146">
        <f t="shared" si="0"/>
        <v>36</v>
      </c>
      <c r="I41" s="146" t="str">
        <f>+IF(VLOOKUP(A41,'Estado SCI'!$A$16:$G$59,7,0)="","",VLOOKUP(A41,'Estado SCI'!$A$16:$G$59,7,0))</f>
        <v>No</v>
      </c>
      <c r="J41" s="147">
        <f t="shared" si="2"/>
        <v>0</v>
      </c>
      <c r="K41" s="148">
        <f t="shared" si="1"/>
        <v>0.4</v>
      </c>
    </row>
    <row r="42" spans="1:11" x14ac:dyDescent="0.25">
      <c r="A42" s="146" t="s">
        <v>238</v>
      </c>
      <c r="B42" s="146" t="s">
        <v>128</v>
      </c>
      <c r="C42" s="146" t="s">
        <v>89</v>
      </c>
      <c r="D42" s="146" t="s">
        <v>38</v>
      </c>
      <c r="E42" s="146" t="s">
        <v>146</v>
      </c>
      <c r="F42" s="146" t="str">
        <f>+VLOOKUP(A42,'Estado SCI'!$A$16:$I$59,9,0)</f>
        <v>Oportunidad de mejora</v>
      </c>
      <c r="G42" s="146">
        <f>+VLOOKUP(A42,'Estado SCI'!$A$16:$L$59,12,0)</f>
        <v>100.85123456700001</v>
      </c>
      <c r="H42" s="146">
        <f t="shared" si="0"/>
        <v>41</v>
      </c>
      <c r="I42" s="146" t="str">
        <f>+IF(VLOOKUP(A42,'Estado SCI'!$A$16:$G$59,7,0)="","",VLOOKUP(A42,'Estado SCI'!$A$16:$G$59,7,0))</f>
        <v>En proceso</v>
      </c>
      <c r="J42" s="147">
        <f t="shared" si="2"/>
        <v>0.5</v>
      </c>
      <c r="K42" s="148">
        <f t="shared" si="1"/>
        <v>0.4</v>
      </c>
    </row>
    <row r="43" spans="1:11" x14ac:dyDescent="0.25">
      <c r="A43" s="146" t="s">
        <v>239</v>
      </c>
      <c r="B43" s="146" t="s">
        <v>128</v>
      </c>
      <c r="C43" s="146" t="s">
        <v>89</v>
      </c>
      <c r="D43" s="146" t="s">
        <v>41</v>
      </c>
      <c r="E43" s="146" t="s">
        <v>148</v>
      </c>
      <c r="F43" s="146" t="str">
        <f>+VLOOKUP(A43,'Estado SCI'!$A$16:$I$59,9,0)</f>
        <v>Deficiencia de control</v>
      </c>
      <c r="G43" s="146">
        <f>+VLOOKUP(A43,'Estado SCI'!$A$16:$L$59,12,0)</f>
        <v>80.851234567800006</v>
      </c>
      <c r="H43" s="146">
        <f t="shared" si="0"/>
        <v>37</v>
      </c>
      <c r="I43" s="146" t="str">
        <f>+IF(VLOOKUP(A43,'Estado SCI'!$A$16:$G$59,7,0)="","",VLOOKUP(A43,'Estado SCI'!$A$16:$G$59,7,0))</f>
        <v>No</v>
      </c>
      <c r="J43" s="147">
        <f t="shared" si="2"/>
        <v>0</v>
      </c>
      <c r="K43" s="148">
        <f t="shared" si="1"/>
        <v>0.4</v>
      </c>
    </row>
    <row r="44" spans="1:11" x14ac:dyDescent="0.25">
      <c r="A44" s="146" t="s">
        <v>240</v>
      </c>
      <c r="B44" s="146" t="s">
        <v>128</v>
      </c>
      <c r="C44" s="146" t="s">
        <v>89</v>
      </c>
      <c r="D44" s="146" t="s">
        <v>44</v>
      </c>
      <c r="E44" s="146" t="s">
        <v>150</v>
      </c>
      <c r="F44" s="146" t="str">
        <f>+VLOOKUP(A44,'Estado SCI'!$A$16:$I$59,9,0)</f>
        <v>Deficiencia de control</v>
      </c>
      <c r="G44" s="146">
        <f>+VLOOKUP(A44,'Estado SCI'!$A$16:$L$59,12,0)</f>
        <v>80.851234567890003</v>
      </c>
      <c r="H44" s="146">
        <f t="shared" si="0"/>
        <v>38</v>
      </c>
      <c r="I44" s="146" t="str">
        <f>+IF(VLOOKUP(A44,'Estado SCI'!$A$16:$G$59,7,0)="","",VLOOKUP(A44,'Estado SCI'!$A$16:$G$59,7,0))</f>
        <v>No</v>
      </c>
      <c r="J44" s="147">
        <f t="shared" si="2"/>
        <v>0</v>
      </c>
      <c r="K44" s="148">
        <f t="shared" si="1"/>
        <v>0.4</v>
      </c>
    </row>
    <row r="45" spans="1:11" x14ac:dyDescent="0.25">
      <c r="A45" s="146" t="s">
        <v>241</v>
      </c>
      <c r="B45" s="146" t="s">
        <v>128</v>
      </c>
      <c r="C45" s="146" t="s">
        <v>89</v>
      </c>
      <c r="D45" s="146" t="s">
        <v>47</v>
      </c>
      <c r="E45" s="146" t="s">
        <v>152</v>
      </c>
      <c r="F45" s="146" t="str">
        <f>+VLOOKUP(A45,'Estado SCI'!$A$16:$I$59,9,0)</f>
        <v>Oportunidad de mejora</v>
      </c>
      <c r="G45" s="146">
        <f>+VLOOKUP(A45,'Estado SCI'!$A$16:$L$59,12,0)</f>
        <v>100.851234567891</v>
      </c>
      <c r="H45" s="146">
        <f t="shared" si="0"/>
        <v>42</v>
      </c>
      <c r="I45" s="146" t="str">
        <f>+IF(VLOOKUP(A45,'Estado SCI'!$A$16:$G$59,7,0)="","",VLOOKUP(A45,'Estado SCI'!$A$16:$G$59,7,0))</f>
        <v>En proceso</v>
      </c>
      <c r="J45" s="147">
        <f t="shared" si="2"/>
        <v>0.5</v>
      </c>
      <c r="K45" s="148">
        <f t="shared" si="1"/>
        <v>0.4</v>
      </c>
    </row>
  </sheetData>
  <sheetProtection algorithmName="SHA-512" hashValue="eXgkKlTi9xJKAI7t6Aeb2RaFpkfyF43pI2BIhtxDc7hsl0SqLK8I4Wc7jbZwC5kw3uyIHOBIUXRnh5cC70LKYA==" saltValue="AxKzX6Ar80vT7acQV8rFpQ==" spinCount="100000" sheet="1" objects="1" scenarios="1" selectLockedCells="1"/>
  <autoFilter ref="A1:K45"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d5740c3-9c18-4718-a889-190f3e2ee593">
      <Terms xmlns="http://schemas.microsoft.com/office/infopath/2007/PartnerControls"/>
    </lcf76f155ced4ddcb4097134ff3c332f>
    <TaxCatchAll xmlns="5903d33d-58e4-480b-9186-7f303500164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8B1A5071D99B34EABCA8A4B3BC28336" ma:contentTypeVersion="13" ma:contentTypeDescription="Crear nuevo documento." ma:contentTypeScope="" ma:versionID="32ac93be61e46951b78bb1e79c78120c">
  <xsd:schema xmlns:xsd="http://www.w3.org/2001/XMLSchema" xmlns:xs="http://www.w3.org/2001/XMLSchema" xmlns:p="http://schemas.microsoft.com/office/2006/metadata/properties" xmlns:ns2="dd5740c3-9c18-4718-a889-190f3e2ee593" xmlns:ns3="5903d33d-58e4-480b-9186-7f3035001647" targetNamespace="http://schemas.microsoft.com/office/2006/metadata/properties" ma:root="true" ma:fieldsID="cf3d40f9c5375c488af79ad90d498efd" ns2:_="" ns3:_="">
    <xsd:import namespace="dd5740c3-9c18-4718-a889-190f3e2ee593"/>
    <xsd:import namespace="5903d33d-58e4-480b-9186-7f303500164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5740c3-9c18-4718-a889-190f3e2ee5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Etiquetas de imagen" ma:readOnly="false" ma:fieldId="{5cf76f15-5ced-4ddc-b409-7134ff3c332f}" ma:taxonomyMulti="true" ma:sspId="b3699df2-1c39-45fb-b227-5e3da89a9272"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903d33d-58e4-480b-9186-7f3035001647"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9a03279-9e9a-4f75-a0a9-5f2e7030f240}" ma:internalName="TaxCatchAll" ma:showField="CatchAllData" ma:web="5903d33d-58e4-480b-9186-7f30350016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21F8F0-40CA-4A85-8443-55E06CB2A658}">
  <ds:schemaRefs>
    <ds:schemaRef ds:uri="http://schemas.microsoft.com/office/2006/metadata/properties"/>
    <ds:schemaRef ds:uri="http://schemas.microsoft.com/office/infopath/2007/PartnerControls"/>
    <ds:schemaRef ds:uri="dd5740c3-9c18-4718-a889-190f3e2ee593"/>
    <ds:schemaRef ds:uri="5903d33d-58e4-480b-9186-7f3035001647"/>
  </ds:schemaRefs>
</ds:datastoreItem>
</file>

<file path=customXml/itemProps2.xml><?xml version="1.0" encoding="utf-8"?>
<ds:datastoreItem xmlns:ds="http://schemas.openxmlformats.org/officeDocument/2006/customXml" ds:itemID="{2301A5E0-707C-4A8A-92B8-A26EBE8D7667}">
  <ds:schemaRefs>
    <ds:schemaRef ds:uri="http://schemas.microsoft.com/sharepoint/v3/contenttype/forms"/>
  </ds:schemaRefs>
</ds:datastoreItem>
</file>

<file path=customXml/itemProps3.xml><?xml version="1.0" encoding="utf-8"?>
<ds:datastoreItem xmlns:ds="http://schemas.openxmlformats.org/officeDocument/2006/customXml" ds:itemID="{AA87EF9D-AF93-4994-B40A-4AB0CE723D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5740c3-9c18-4718-a889-190f3e2ee593"/>
    <ds:schemaRef ds:uri="5903d33d-58e4-480b-9186-7f30350016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Instructivo</vt:lpstr>
      <vt:lpstr>Estado SCI</vt:lpstr>
      <vt:lpstr>Análisis Resultados</vt:lpstr>
      <vt:lpstr>Conclusión</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Sala Juntas Piso 6</dc:creator>
  <cp:keywords/>
  <dc:description/>
  <cp:lastModifiedBy>Miriam Herrera</cp:lastModifiedBy>
  <cp:revision/>
  <dcterms:created xsi:type="dcterms:W3CDTF">2020-04-28T13:58:09Z</dcterms:created>
  <dcterms:modified xsi:type="dcterms:W3CDTF">2026-04-27T16:07:53Z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0x01010068B1A5071D99B34EABCA8A4B3BC28336</vt:lpwstr>
  </property>
  <property fmtid="{D5CDD505-2E9C-101B-9397-08002B2CF9AE}" pid="3" name="MediaServiceImageTags">
    <vt:lpwstr/>
  </property>
  <property fmtid="{D5CDD505-2E9C-101B-9397-08002B2CF9AE}" pid="4" name="MSIP_Label_fc111285-cafa-4fc9-8a9a-bd902089b24f_Enabled">
    <vt:lpwstr>true</vt:lpwstr>
  </property>
  <property fmtid="{D5CDD505-2E9C-101B-9397-08002B2CF9AE}" pid="5" name="MSIP_Label_fc111285-cafa-4fc9-8a9a-bd902089b24f_SetDate">
    <vt:lpwstr>2025-09-26T20:23:26Z</vt:lpwstr>
  </property>
  <property fmtid="{D5CDD505-2E9C-101B-9397-08002B2CF9AE}" pid="6" name="MSIP_Label_fc111285-cafa-4fc9-8a9a-bd902089b24f_Method">
    <vt:lpwstr>Privileged</vt:lpwstr>
  </property>
  <property fmtid="{D5CDD505-2E9C-101B-9397-08002B2CF9AE}" pid="7" name="MSIP_Label_fc111285-cafa-4fc9-8a9a-bd902089b24f_Name">
    <vt:lpwstr>Public</vt:lpwstr>
  </property>
  <property fmtid="{D5CDD505-2E9C-101B-9397-08002B2CF9AE}" pid="8" name="MSIP_Label_fc111285-cafa-4fc9-8a9a-bd902089b24f_SiteId">
    <vt:lpwstr>cbc2c381-2f2e-4d93-91d1-506c9316ace7</vt:lpwstr>
  </property>
  <property fmtid="{D5CDD505-2E9C-101B-9397-08002B2CF9AE}" pid="9" name="MSIP_Label_fc111285-cafa-4fc9-8a9a-bd902089b24f_ActionId">
    <vt:lpwstr>c932f44f-350a-424e-bb29-9a4f6e3680eb</vt:lpwstr>
  </property>
  <property fmtid="{D5CDD505-2E9C-101B-9397-08002B2CF9AE}" pid="10" name="MSIP_Label_fc111285-cafa-4fc9-8a9a-bd902089b24f_ContentBits">
    <vt:lpwstr>0</vt:lpwstr>
  </property>
  <property fmtid="{D5CDD505-2E9C-101B-9397-08002B2CF9AE}" pid="11" name="MSIP_Label_fc111285-cafa-4fc9-8a9a-bd902089b24f_Tag">
    <vt:lpwstr>10, 0, 1, 1</vt:lpwstr>
  </property>
</Properties>
</file>